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9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10.xml" ContentType="application/vnd.openxmlformats-officedocument.drawingml.chartshapes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11.xml" ContentType="application/vnd.openxmlformats-officedocument.drawingml.chartshapes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14.xml" ContentType="application/vnd.openxmlformats-officedocument.drawingml.chartshapes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21.xml" ContentType="application/vnd.openxmlformats-officedocument.drawingml.chartshape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24.xml" ContentType="application/vnd.openxmlformats-officedocument.drawingml.chartshapes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25.xml" ContentType="application/vnd.openxmlformats-officedocument.drawingml.chartshapes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26.xml" ContentType="application/vnd.openxmlformats-officedocument.drawingml.chartshapes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27.xml" ContentType="application/vnd.openxmlformats-officedocument.drawingml.chartshapes+xml"/>
  <Override PartName="/xl/drawings/drawing28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31.xml" ContentType="application/vnd.openxmlformats-officedocument.drawingml.chartshapes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46.xml" ContentType="application/vnd.openxmlformats-officedocument.drawingml.chartshapes+xml"/>
  <Override PartName="/xl/drawings/drawing47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charts/chart27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7.xml" ContentType="application/vnd.openxmlformats-officedocument.themeOverride+xml"/>
  <Override PartName="/xl/drawings/drawing51.xml" ContentType="application/vnd.openxmlformats-officedocument.drawingml.chartshapes+xml"/>
  <Override PartName="/xl/charts/chart28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8.xml" ContentType="application/vnd.openxmlformats-officedocument.themeOverride+xml"/>
  <Override PartName="/xl/drawings/drawing52.xml" ContentType="application/vnd.openxmlformats-officedocument.drawingml.chartshapes+xml"/>
  <Override PartName="/xl/charts/chart29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9.xml" ContentType="application/vnd.openxmlformats-officedocument.themeOverride+xml"/>
  <Override PartName="/xl/drawings/drawing53.xml" ContentType="application/vnd.openxmlformats-officedocument.drawingml.chartshapes+xml"/>
  <Override PartName="/xl/charts/chart30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30.xml" ContentType="application/vnd.openxmlformats-officedocument.themeOverride+xml"/>
  <Override PartName="/xl/drawings/drawing54.xml" ContentType="application/vnd.openxmlformats-officedocument.drawingml.chartshapes+xml"/>
  <Override PartName="/xl/charts/chart31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31.xml" ContentType="application/vnd.openxmlformats-officedocument.themeOverride+xml"/>
  <Override PartName="/xl/drawings/drawing55.xml" ContentType="application/vnd.openxmlformats-officedocument.drawingml.chartshapes+xml"/>
  <Override PartName="/xl/charts/chart32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32.xml" ContentType="application/vnd.openxmlformats-officedocument.themeOverride+xml"/>
  <Override PartName="/xl/drawings/drawing56.xml" ContentType="application/vnd.openxmlformats-officedocument.drawingml.chartshapes+xml"/>
  <Override PartName="/xl/charts/chart33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33.xml" ContentType="application/vnd.openxmlformats-officedocument.themeOverride+xml"/>
  <Override PartName="/xl/drawings/drawing57.xml" ContentType="application/vnd.openxmlformats-officedocument.drawingml.chartshapes+xml"/>
  <Override PartName="/xl/charts/chart34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34.xml" ContentType="application/vnd.openxmlformats-officedocument.themeOverride+xml"/>
  <Override PartName="/xl/drawings/drawing58.xml" ContentType="application/vnd.openxmlformats-officedocument.drawingml.chartshapes+xml"/>
  <Override PartName="/xl/charts/chart35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35.xml" ContentType="application/vnd.openxmlformats-officedocument.themeOverride+xml"/>
  <Override PartName="/xl/drawings/drawing59.xml" ContentType="application/vnd.openxmlformats-officedocument.drawingml.chartshapes+xml"/>
  <Override PartName="/xl/charts/chart36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6.xml" ContentType="application/vnd.openxmlformats-officedocument.themeOverride+xml"/>
  <Override PartName="/xl/drawings/drawing60.xml" ContentType="application/vnd.openxmlformats-officedocument.drawingml.chartshapes+xml"/>
  <Override PartName="/xl/charts/chart37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7.xml" ContentType="application/vnd.openxmlformats-officedocument.themeOverride+xml"/>
  <Override PartName="/xl/drawings/drawing61.xml" ContentType="application/vnd.openxmlformats-officedocument.drawingml.chartshapes+xml"/>
  <Override PartName="/xl/charts/chart38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8.xml" ContentType="application/vnd.openxmlformats-officedocument.themeOverride+xml"/>
  <Override PartName="/xl/drawings/drawing62.xml" ContentType="application/vnd.openxmlformats-officedocument.drawingml.chartshapes+xml"/>
  <Override PartName="/xl/drawings/drawing63.xml" ContentType="application/vnd.openxmlformats-officedocument.drawing+xml"/>
  <Override PartName="/xl/charts/chart39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9.xml" ContentType="application/vnd.openxmlformats-officedocument.themeOverride+xml"/>
  <Override PartName="/xl/drawings/drawing64.xml" ContentType="application/vnd.openxmlformats-officedocument.drawingml.chartshapes+xml"/>
  <Override PartName="/xl/charts/chart40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40.xml" ContentType="application/vnd.openxmlformats-officedocument.themeOverride+xml"/>
  <Override PartName="/xl/drawings/drawing65.xml" ContentType="application/vnd.openxmlformats-officedocument.drawingml.chartshapes+xml"/>
  <Override PartName="/xl/charts/chart41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41.xml" ContentType="application/vnd.openxmlformats-officedocument.themeOverride+xml"/>
  <Override PartName="/xl/drawings/drawing66.xml" ContentType="application/vnd.openxmlformats-officedocument.drawingml.chartshapes+xml"/>
  <Override PartName="/xl/charts/chart42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42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43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43.xml" ContentType="application/vnd.openxmlformats-officedocument.themeOverride+xml"/>
  <Override PartName="/xl/drawings/drawing73.xml" ContentType="application/vnd.openxmlformats-officedocument.drawingml.chartshapes+xml"/>
  <Override PartName="/xl/charts/chart44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44.xml" ContentType="application/vnd.openxmlformats-officedocument.themeOverride+xml"/>
  <Override PartName="/xl/drawings/drawing74.xml" ContentType="application/vnd.openxmlformats-officedocument.drawingml.chartshapes+xml"/>
  <Override PartName="/xl/charts/chart45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45.xml" ContentType="application/vnd.openxmlformats-officedocument.themeOverride+xml"/>
  <Override PartName="/xl/drawings/drawing75.xml" ContentType="application/vnd.openxmlformats-officedocument.drawingml.chartshapes+xml"/>
  <Override PartName="/xl/charts/chart46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6.xml" ContentType="application/vnd.openxmlformats-officedocument.themeOverride+xml"/>
  <Override PartName="/xl/drawings/drawing76.xml" ContentType="application/vnd.openxmlformats-officedocument.drawingml.chartshapes+xml"/>
  <Override PartName="/xl/charts/chart47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7.xml" ContentType="application/vnd.openxmlformats-officedocument.themeOverride+xml"/>
  <Override PartName="/xl/drawings/drawing77.xml" ContentType="application/vnd.openxmlformats-officedocument.drawingml.chartshapes+xml"/>
  <Override PartName="/xl/charts/chart48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8.xml" ContentType="application/vnd.openxmlformats-officedocument.themeOverride+xml"/>
  <Override PartName="/xl/drawings/drawing78.xml" ContentType="application/vnd.openxmlformats-officedocument.drawingml.chartshapes+xml"/>
  <Override PartName="/xl/charts/chart49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9.xml" ContentType="application/vnd.openxmlformats-officedocument.themeOverride+xml"/>
  <Override PartName="/xl/drawings/drawing79.xml" ContentType="application/vnd.openxmlformats-officedocument.drawingml.chartshapes+xml"/>
  <Override PartName="/xl/charts/chart50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50.xml" ContentType="application/vnd.openxmlformats-officedocument.themeOverride+xml"/>
  <Override PartName="/xl/drawings/drawing80.xml" ContentType="application/vnd.openxmlformats-officedocument.drawingml.chartshapes+xml"/>
  <Override PartName="/xl/charts/chart51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51.xml" ContentType="application/vnd.openxmlformats-officedocument.themeOverride+xml"/>
  <Override PartName="/xl/drawings/drawing81.xml" ContentType="application/vnd.openxmlformats-officedocument.drawingml.chartshapes+xml"/>
  <Override PartName="/xl/charts/chart52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52.xml" ContentType="application/vnd.openxmlformats-officedocument.themeOverride+xml"/>
  <Override PartName="/xl/drawings/drawing82.xml" ContentType="application/vnd.openxmlformats-officedocument.drawingml.chartshapes+xml"/>
  <Override PartName="/xl/charts/chart53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53.xml" ContentType="application/vnd.openxmlformats-officedocument.themeOverride+xml"/>
  <Override PartName="/xl/drawings/drawing83.xml" ContentType="application/vnd.openxmlformats-officedocument.drawingml.chartshapes+xml"/>
  <Override PartName="/xl/charts/chart54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54.xml" ContentType="application/vnd.openxmlformats-officedocument.themeOverride+xml"/>
  <Override PartName="/xl/drawings/drawing84.xml" ContentType="application/vnd.openxmlformats-officedocument.drawingml.chartshapes+xml"/>
  <Override PartName="/xl/charts/chart55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55.xml" ContentType="application/vnd.openxmlformats-officedocument.themeOverride+xml"/>
  <Override PartName="/xl/drawings/drawing85.xml" ContentType="application/vnd.openxmlformats-officedocument.drawingml.chartshapes+xml"/>
  <Override PartName="/xl/drawings/drawing86.xml" ContentType="application/vnd.openxmlformats-officedocument.drawing+xml"/>
  <Override PartName="/xl/charts/chart56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6.xml" ContentType="application/vnd.openxmlformats-officedocument.themeOverride+xml"/>
  <Override PartName="/xl/drawings/drawing87.xml" ContentType="application/vnd.openxmlformats-officedocument.drawingml.chartshapes+xml"/>
  <Override PartName="/xl/charts/chart57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7.xml" ContentType="application/vnd.openxmlformats-officedocument.themeOverride+xml"/>
  <Override PartName="/xl/drawings/drawing88.xml" ContentType="application/vnd.openxmlformats-officedocument.drawingml.chartshapes+xml"/>
  <Override PartName="/xl/charts/chart58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8.xml" ContentType="application/vnd.openxmlformats-officedocument.themeOverride+xml"/>
  <Override PartName="/xl/drawings/drawing89.xml" ContentType="application/vnd.openxmlformats-officedocument.drawingml.chartshapes+xml"/>
  <Override PartName="/xl/charts/chart59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9.xml" ContentType="application/vnd.openxmlformats-officedocument.themeOverride+xml"/>
  <Override PartName="/xl/drawings/drawing90.xml" ContentType="application/vnd.openxmlformats-officedocument.drawingml.chartshapes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0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60.xml" ContentType="application/vnd.openxmlformats-officedocument.themeOverride+xml"/>
  <Override PartName="/xl/drawings/drawing93.xml" ContentType="application/vnd.openxmlformats-officedocument.drawingml.chartshapes+xml"/>
  <Override PartName="/xl/charts/chart61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61.xml" ContentType="application/vnd.openxmlformats-officedocument.themeOverride+xml"/>
  <Override PartName="/xl/drawings/drawing94.xml" ContentType="application/vnd.openxmlformats-officedocument.drawingml.chartshapes+xml"/>
  <Override PartName="/xl/charts/chart62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62.xml" ContentType="application/vnd.openxmlformats-officedocument.themeOverride+xml"/>
  <Override PartName="/xl/drawings/drawing95.xml" ContentType="application/vnd.openxmlformats-officedocument.drawingml.chartshapes+xml"/>
  <Override PartName="/xl/charts/chart63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63.xml" ContentType="application/vnd.openxmlformats-officedocument.themeOverride+xml"/>
  <Override PartName="/xl/drawings/drawing96.xml" ContentType="application/vnd.openxmlformats-officedocument.drawingml.chartshapes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64.xml" ContentType="application/vnd.openxmlformats-officedocument.drawingml.chart+xml"/>
  <Override PartName="/xl/drawings/drawing103.xml" ContentType="application/vnd.openxmlformats-officedocument.drawingml.chartshapes+xml"/>
  <Override PartName="/xl/charts/chart65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drawings/drawing104.xml" ContentType="application/vnd.openxmlformats-officedocument.drawingml.chartshapes+xml"/>
  <Override PartName="/xl/charts/chart66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drawings/drawing106.xml" ContentType="application/vnd.openxmlformats-officedocument.drawing+xml"/>
  <Override PartName="/xl/charts/chart67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drawings/drawing107.xml" ContentType="application/vnd.openxmlformats-officedocument.drawingml.chartshapes+xml"/>
  <Override PartName="/xl/charts/chart68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drawings/drawing108.xml" ContentType="application/vnd.openxmlformats-officedocument.drawingml.chartshapes+xml"/>
  <Override PartName="/xl/drawings/drawing109.xml" ContentType="application/vnd.openxmlformats-officedocument.drawing+xml"/>
  <Override PartName="/xl/charts/chart69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drawings/drawing110.xml" ContentType="application/vnd.openxmlformats-officedocument.drawingml.chartshapes+xml"/>
  <Override PartName="/xl/charts/chart70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charts/chart71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drawings/drawing113.xml" ContentType="application/vnd.openxmlformats-officedocument.drawingml.chartshapes+xml"/>
  <Override PartName="/xl/charts/chart72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drawings/drawing114.xml" ContentType="application/vnd.openxmlformats-officedocument.drawingml.chartshapes+xml"/>
  <Override PartName="/xl/drawings/drawing115.xml" ContentType="application/vnd.openxmlformats-officedocument.drawing+xml"/>
  <Override PartName="/xl/charts/chart73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drawings/drawing116.xml" ContentType="application/vnd.openxmlformats-officedocument.drawingml.chartshapes+xml"/>
  <Override PartName="/xl/charts/chart74.xml" ContentType="application/vnd.openxmlformats-officedocument.drawingml.chart+xml"/>
  <Override PartName="/xl/theme/themeOverride65.xml" ContentType="application/vnd.openxmlformats-officedocument.themeOverride+xml"/>
  <Override PartName="/xl/drawings/drawing117.xml" ContentType="application/vnd.openxmlformats-officedocument.drawingml.chartshapes+xml"/>
  <Override PartName="/xl/charts/chart75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drawings/drawing118.xml" ContentType="application/vnd.openxmlformats-officedocument.drawingml.chartshapes+xml"/>
  <Override PartName="/xl/drawings/drawing119.xml" ContentType="application/vnd.openxmlformats-officedocument.drawing+xml"/>
  <Override PartName="/xl/charts/chart76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drawings/drawing120.xml" ContentType="application/vnd.openxmlformats-officedocument.drawingml.chartshapes+xml"/>
  <Override PartName="/xl/charts/chart77.xml" ContentType="application/vnd.openxmlformats-officedocument.drawingml.chart+xml"/>
  <Override PartName="/xl/theme/themeOverride66.xml" ContentType="application/vnd.openxmlformats-officedocument.themeOverride+xml"/>
  <Override PartName="/xl/drawings/drawing121.xml" ContentType="application/vnd.openxmlformats-officedocument.drawingml.chartshapes+xml"/>
  <Override PartName="/xl/charts/chart7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drawings/drawing122.xml" ContentType="application/vnd.openxmlformats-officedocument.drawingml.chartshapes+xml"/>
  <Override PartName="/xl/drawings/drawing123.xml" ContentType="application/vnd.openxmlformats-officedocument.drawing+xml"/>
  <Override PartName="/xl/charts/chart7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drawings/drawing124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25.xml" ContentType="application/vnd.openxmlformats-officedocument.drawingml.chartshapes+xml"/>
  <Override PartName="/xl/charts/chart81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drawings/drawing126.xml" ContentType="application/vnd.openxmlformats-officedocument.drawingml.chartshapes+xml"/>
  <Override PartName="/xl/drawings/drawing127.xml" ContentType="application/vnd.openxmlformats-officedocument.drawing+xml"/>
  <Override PartName="/xl/charts/chart82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theme/themeOverride68.xml" ContentType="application/vnd.openxmlformats-officedocument.themeOverride+xml"/>
  <Override PartName="/xl/drawings/drawing128.xml" ContentType="application/vnd.openxmlformats-officedocument.drawingml.chartshapes+xml"/>
  <Override PartName="/xl/drawings/drawing129.xml" ContentType="application/vnd.openxmlformats-officedocument.drawing+xml"/>
  <Override PartName="/xl/charts/chart83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theme/themeOverride69.xml" ContentType="application/vnd.openxmlformats-officedocument.themeOverride+xml"/>
  <Override PartName="/xl/drawings/drawing130.xml" ContentType="application/vnd.openxmlformats-officedocument.drawingml.chartshapes+xml"/>
  <Override PartName="/xl/drawings/drawing131.xml" ContentType="application/vnd.openxmlformats-officedocument.drawing+xml"/>
  <Override PartName="/xl/charts/chart84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theme/themeOverride70.xml" ContentType="application/vnd.openxmlformats-officedocument.themeOverride+xml"/>
  <Override PartName="/xl/drawings/drawing132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Encuesta Alojam Turísticos (ISTAC)/2025/Municipios/junio/"/>
    </mc:Choice>
  </mc:AlternateContent>
  <xr:revisionPtr revIDLastSave="27" documentId="8_{258CF256-B1CB-4C63-86E0-714E87392A6C}" xr6:coauthVersionLast="47" xr6:coauthVersionMax="47" xr10:uidLastSave="{8B7319A7-BE02-4FE2-8617-4B4D46472F92}"/>
  <bookViews>
    <workbookView xWindow="-120" yWindow="-120" windowWidth="29040" windowHeight="15720" xr2:uid="{3B539009-9188-4A22-A772-A095CF84B3AE}"/>
  </bookViews>
  <sheets>
    <sheet name="Menú principal" sheetId="1" r:id="rId1"/>
    <sheet name="Resumen indicadores (aloj)" sheetId="2" r:id="rId2"/>
    <sheet name="Resumen indicadores municipios " sheetId="3" r:id="rId3"/>
    <sheet name="Oferta alojativa" sheetId="4" r:id="rId4"/>
    <sheet name="Plazas aloj islas cat y tipolog" sheetId="5" r:id="rId5"/>
    <sheet name="Establecim aloj islas cat y tip" sheetId="6" r:id="rId6"/>
    <sheet name="viajeros entrados" sheetId="7" r:id="rId7"/>
    <sheet name="Viajeros entr evol mensu TF" sheetId="49" r:id="rId8"/>
    <sheet name="Viajeros entr evol mensu TF15-2" sheetId="9" r:id="rId9"/>
    <sheet name="Viajeros entr evol mensu TF cat" sheetId="50" r:id="rId10"/>
    <sheet name="Viajeros entr evol anual TF cat" sheetId="11" r:id="rId11"/>
    <sheet name="Viajeros entr ti-cat ultimo mes" sheetId="12" r:id="rId12"/>
    <sheet name="viaj entrados lugar resid años " sheetId="13" r:id="rId13"/>
    <sheet name="viaj entrados lugar residencia" sheetId="14" r:id="rId14"/>
    <sheet name="viaj entrados lugar residen acu" sheetId="15" r:id="rId15"/>
    <sheet name="viaj entrados lugar residen hot" sheetId="16" r:id="rId16"/>
    <sheet name="viaj entrados lugar residen apt" sheetId="17" r:id="rId17"/>
    <sheet name="viaj entrados lugar residen cat" sheetId="18" r:id="rId18"/>
    <sheet name="viaj entr lugar res año categor" sheetId="19" r:id="rId19"/>
    <sheet name="viajeros alojados" sheetId="20" r:id="rId20"/>
    <sheet name="viaj aloj lugar residen mes" sheetId="21" r:id="rId21"/>
    <sheet name="viaj alojados lugar residen acu" sheetId="22" r:id="rId22"/>
    <sheet name="Pernoctaciones" sheetId="23" r:id="rId23"/>
    <sheet name="Pernoctaciones evol mensu TF" sheetId="51" r:id="rId24"/>
    <sheet name="Pernocta evol mensu TF cat" sheetId="52" r:id="rId25"/>
    <sheet name="Pernoctaciones lugar reside" sheetId="26" r:id="rId26"/>
    <sheet name="Pernoctaciones lugar residen ac" sheetId="27" r:id="rId27"/>
    <sheet name="Pernoctaciones lugar reside año" sheetId="28" r:id="rId28"/>
    <sheet name="Estancia media" sheetId="29" r:id="rId29"/>
    <sheet name="EM evol menusual lugar resd" sheetId="30" r:id="rId30"/>
    <sheet name="EM evol mensu TF cat " sheetId="31" r:id="rId31"/>
    <sheet name="Tasa de ocupación" sheetId="32" r:id="rId32"/>
    <sheet name="tasa de ocupación evol mens" sheetId="33" r:id="rId33"/>
    <sheet name="indicadores rentabilidad" sheetId="34" r:id="rId34"/>
    <sheet name="ADR RevPAR ingresos totales ult" sheetId="35" r:id="rId35"/>
    <sheet name="ADR municipios" sheetId="36" r:id="rId36"/>
    <sheet name="RevPAR  municipios" sheetId="37" r:id="rId37"/>
    <sheet name="viajeros españoles" sheetId="38" r:id="rId38"/>
    <sheet name="distribución españoles x Resid" sheetId="39" r:id="rId39"/>
    <sheet name="distribución españoles x cate" sheetId="40" r:id="rId40"/>
    <sheet name="distribución peninsulare x cate" sheetId="41" r:id="rId41"/>
    <sheet name="distribución canarios x cate" sheetId="42" r:id="rId42"/>
    <sheet name="distribución españoles x mun al" sheetId="43" r:id="rId43"/>
    <sheet name="distribución peninsula x munici" sheetId="44" r:id="rId44"/>
    <sheet name="distribución canarias x munici" sheetId="45" r:id="rId45"/>
    <sheet name="evolución anual viaj ent españo" sheetId="46" r:id="rId46"/>
    <sheet name="evolución anual viaj ent penins" sheetId="47" r:id="rId47"/>
    <sheet name="evolución anual viaj ent canari" sheetId="48" r:id="rId48"/>
  </sheets>
  <definedNames>
    <definedName name="_xlnm.Print_Area" localSheetId="44">'distribución canarias x munici'!$B$3:$AB$37</definedName>
    <definedName name="_xlnm.Print_Area" localSheetId="41">'distribución canarios x cate'!$B$3:$AB$33</definedName>
    <definedName name="_xlnm.Print_Area" localSheetId="39">'distribución españoles x cate'!$B$3:$AB$33</definedName>
    <definedName name="_xlnm.Print_Area" localSheetId="42">'distribución españoles x mun al'!$B$3:$AB$37</definedName>
    <definedName name="_xlnm.Print_Area" localSheetId="38">'distribución españoles x Resid'!$B$3:$AB$32</definedName>
    <definedName name="_xlnm.Print_Area" localSheetId="43">'distribución peninsula x munici'!$B$3:$AB$37</definedName>
    <definedName name="_xlnm.Print_Area" localSheetId="40">'distribución peninsulare x cate'!$B$3:$AB$33</definedName>
    <definedName name="_xlnm.Print_Area" localSheetId="25">'Pernoctaciones lugar reside'!$B$4:$K$162</definedName>
    <definedName name="_xlnm.Print_Area" localSheetId="27">'Pernoctaciones lugar reside año'!$B$4:$M$162</definedName>
    <definedName name="_xlnm.Print_Area" localSheetId="26">'Pernoctaciones lugar residen ac'!$B$3:$K$162</definedName>
    <definedName name="_xlnm.Print_Area" localSheetId="21">'viaj alojados lugar residen acu'!$B$4:$L$163</definedName>
    <definedName name="_xlnm.Print_Area" localSheetId="18">'viaj entr lugar res año categor'!$B$4:$B$164</definedName>
    <definedName name="_xlnm.Print_Area" localSheetId="12">'viaj entrados lugar resid años '!$B$3:$K$162</definedName>
    <definedName name="_xlnm.Print_Area" localSheetId="14">'viaj entrados lugar residen acu'!$B$4:$M$22</definedName>
    <definedName name="_xlnm.Print_Area" localSheetId="16">'viaj entrados lugar residen apt'!$B$4:$K$22</definedName>
    <definedName name="_xlnm.Print_Area" localSheetId="17">'viaj entrados lugar residen cat'!$B$3:$B$163</definedName>
    <definedName name="_xlnm.Print_Area" localSheetId="15">'viaj entrados lugar residen hot'!$B$4:$K$22</definedName>
    <definedName name="españafuerteventura">#REF!</definedName>
    <definedName name="españafuerteventura0">#REF!</definedName>
    <definedName name="españagrancanaria">#REF!</definedName>
    <definedName name="españagrancanaria0">#REF!</definedName>
    <definedName name="españalanzarote">#REF!</definedName>
    <definedName name="españalanzarote0">#REF!</definedName>
    <definedName name="españalapalma">#REF!</definedName>
    <definedName name="españalapalma0">#REF!</definedName>
    <definedName name="españaTFN">#REF!</definedName>
    <definedName name="españaTFN0">#REF!</definedName>
    <definedName name="españaTFS">#REF!</definedName>
    <definedName name="españaTFS0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10" i="40" l="1"/>
  <c r="E10" i="40" s="1"/>
  <c r="C10" i="40"/>
  <c r="L86" i="33"/>
  <c r="J86" i="33"/>
  <c r="H86" i="33"/>
  <c r="F86" i="33"/>
  <c r="L85" i="33"/>
  <c r="J85" i="33"/>
  <c r="H85" i="33"/>
  <c r="F85" i="33"/>
  <c r="L84" i="33"/>
  <c r="J84" i="33"/>
  <c r="H84" i="33"/>
  <c r="F84" i="33"/>
  <c r="L83" i="33"/>
  <c r="J83" i="33"/>
  <c r="H83" i="33"/>
  <c r="F83" i="33"/>
  <c r="L82" i="33"/>
  <c r="J82" i="33"/>
  <c r="H82" i="33"/>
  <c r="F82" i="33"/>
  <c r="L81" i="33"/>
  <c r="J81" i="33"/>
  <c r="H81" i="33"/>
  <c r="F81" i="33"/>
  <c r="L80" i="33"/>
  <c r="J80" i="33"/>
  <c r="H80" i="33"/>
  <c r="F80" i="33"/>
  <c r="L79" i="33"/>
  <c r="J79" i="33"/>
  <c r="H79" i="33"/>
  <c r="F79" i="33"/>
  <c r="L78" i="33"/>
  <c r="J78" i="33"/>
  <c r="H78" i="33"/>
  <c r="F78" i="33"/>
  <c r="L77" i="33"/>
  <c r="J77" i="33"/>
  <c r="H77" i="33"/>
  <c r="F77" i="33"/>
  <c r="L76" i="33"/>
  <c r="J76" i="33"/>
  <c r="H76" i="33"/>
  <c r="F76" i="33"/>
  <c r="L75" i="33"/>
  <c r="J75" i="33"/>
  <c r="H75" i="33"/>
  <c r="F75" i="33"/>
  <c r="L74" i="33"/>
  <c r="J74" i="33"/>
  <c r="H74" i="33"/>
  <c r="F74" i="33"/>
  <c r="D74" i="33"/>
  <c r="L64" i="33"/>
  <c r="J64" i="33"/>
  <c r="H64" i="33"/>
  <c r="F64" i="33"/>
  <c r="L63" i="33"/>
  <c r="J63" i="33"/>
  <c r="H63" i="33"/>
  <c r="F63" i="33"/>
  <c r="L62" i="33"/>
  <c r="J62" i="33"/>
  <c r="H62" i="33"/>
  <c r="F62" i="33"/>
  <c r="L61" i="33"/>
  <c r="J61" i="33"/>
  <c r="H61" i="33"/>
  <c r="F61" i="33"/>
  <c r="L60" i="33"/>
  <c r="J60" i="33"/>
  <c r="H60" i="33"/>
  <c r="F60" i="33"/>
  <c r="L59" i="33"/>
  <c r="J59" i="33"/>
  <c r="H59" i="33"/>
  <c r="F59" i="33"/>
  <c r="L58" i="33"/>
  <c r="J58" i="33"/>
  <c r="H58" i="33"/>
  <c r="F58" i="33"/>
  <c r="L57" i="33"/>
  <c r="J57" i="33"/>
  <c r="H57" i="33"/>
  <c r="F57" i="33"/>
  <c r="L56" i="33"/>
  <c r="J56" i="33"/>
  <c r="H56" i="33"/>
  <c r="F56" i="33"/>
  <c r="L55" i="33"/>
  <c r="J55" i="33"/>
  <c r="H55" i="33"/>
  <c r="F55" i="33"/>
  <c r="L54" i="33"/>
  <c r="J54" i="33"/>
  <c r="H54" i="33"/>
  <c r="F54" i="33"/>
  <c r="L53" i="33"/>
  <c r="J53" i="33"/>
  <c r="H53" i="33"/>
  <c r="F53" i="33"/>
  <c r="L52" i="33"/>
  <c r="J52" i="33"/>
  <c r="H52" i="33"/>
  <c r="F52" i="33"/>
  <c r="D52" i="33"/>
  <c r="L43" i="33"/>
  <c r="L42" i="33"/>
  <c r="J42" i="33"/>
  <c r="H42" i="33"/>
  <c r="F42" i="33"/>
  <c r="L41" i="33"/>
  <c r="J41" i="33"/>
  <c r="H41" i="33"/>
  <c r="F41" i="33"/>
  <c r="L40" i="33"/>
  <c r="J40" i="33"/>
  <c r="H40" i="33"/>
  <c r="F40" i="33"/>
  <c r="L39" i="33"/>
  <c r="J39" i="33"/>
  <c r="H39" i="33"/>
  <c r="F39" i="33"/>
  <c r="L38" i="33"/>
  <c r="J38" i="33"/>
  <c r="H38" i="33"/>
  <c r="F38" i="33"/>
  <c r="L37" i="33"/>
  <c r="J37" i="33"/>
  <c r="H37" i="33"/>
  <c r="F37" i="33"/>
  <c r="L36" i="33"/>
  <c r="J36" i="33"/>
  <c r="H36" i="33"/>
  <c r="F36" i="33"/>
  <c r="L35" i="33"/>
  <c r="J35" i="33"/>
  <c r="H35" i="33"/>
  <c r="F35" i="33"/>
  <c r="L34" i="33"/>
  <c r="J34" i="33"/>
  <c r="H34" i="33"/>
  <c r="F34" i="33"/>
  <c r="L33" i="33"/>
  <c r="J33" i="33"/>
  <c r="H33" i="33"/>
  <c r="F33" i="33"/>
  <c r="L32" i="33"/>
  <c r="J32" i="33"/>
  <c r="H32" i="33"/>
  <c r="F32" i="33"/>
  <c r="L31" i="33"/>
  <c r="J31" i="33"/>
  <c r="H31" i="33"/>
  <c r="F31" i="33"/>
  <c r="L30" i="33"/>
  <c r="J30" i="33"/>
  <c r="H30" i="33"/>
  <c r="F30" i="33"/>
  <c r="D30" i="33"/>
  <c r="L21" i="33"/>
  <c r="L20" i="33"/>
  <c r="J20" i="33"/>
  <c r="H20" i="33"/>
  <c r="F20" i="33"/>
  <c r="L19" i="33"/>
  <c r="J19" i="33"/>
  <c r="H19" i="33"/>
  <c r="F19" i="33"/>
  <c r="L18" i="33"/>
  <c r="J18" i="33"/>
  <c r="H18" i="33"/>
  <c r="F18" i="33"/>
  <c r="L17" i="33"/>
  <c r="J17" i="33"/>
  <c r="H17" i="33"/>
  <c r="F17" i="33"/>
  <c r="L16" i="33"/>
  <c r="J16" i="33"/>
  <c r="H16" i="33"/>
  <c r="F16" i="33"/>
  <c r="L15" i="33"/>
  <c r="J15" i="33"/>
  <c r="H15" i="33"/>
  <c r="F15" i="33"/>
  <c r="L14" i="33"/>
  <c r="J14" i="33"/>
  <c r="H14" i="33"/>
  <c r="F14" i="33"/>
  <c r="L13" i="33"/>
  <c r="J13" i="33"/>
  <c r="H13" i="33"/>
  <c r="F13" i="33"/>
  <c r="L12" i="33"/>
  <c r="J12" i="33"/>
  <c r="H12" i="33"/>
  <c r="F12" i="33"/>
  <c r="L11" i="33"/>
  <c r="J11" i="33"/>
  <c r="H11" i="33"/>
  <c r="F11" i="33"/>
  <c r="L10" i="33"/>
  <c r="J10" i="33"/>
  <c r="H10" i="33"/>
  <c r="F10" i="33"/>
  <c r="L9" i="33"/>
  <c r="J9" i="33"/>
  <c r="H9" i="33"/>
  <c r="F9" i="33"/>
  <c r="L8" i="33"/>
  <c r="J8" i="33"/>
  <c r="H8" i="33"/>
  <c r="F8" i="33"/>
  <c r="D8" i="33"/>
  <c r="N80" i="52"/>
  <c r="N79" i="52"/>
  <c r="N78" i="52"/>
  <c r="N77" i="52"/>
  <c r="N76" i="52"/>
  <c r="N75" i="52"/>
  <c r="M73" i="52"/>
  <c r="N74" i="52" s="1"/>
  <c r="N58" i="52"/>
  <c r="N57" i="52"/>
  <c r="N56" i="52"/>
  <c r="N55" i="52"/>
  <c r="N54" i="52"/>
  <c r="N53" i="52"/>
  <c r="M51" i="52"/>
  <c r="N36" i="52"/>
  <c r="N35" i="52"/>
  <c r="N34" i="52"/>
  <c r="N33" i="52"/>
  <c r="N32" i="52"/>
  <c r="N31" i="52"/>
  <c r="M29" i="52"/>
  <c r="N14" i="52"/>
  <c r="N13" i="52"/>
  <c r="N12" i="52"/>
  <c r="N11" i="52"/>
  <c r="N10" i="52"/>
  <c r="N9" i="52"/>
  <c r="N8" i="52"/>
  <c r="N260" i="51"/>
  <c r="N259" i="51"/>
  <c r="N258" i="51"/>
  <c r="N257" i="51"/>
  <c r="N256" i="51"/>
  <c r="N255" i="51"/>
  <c r="M253" i="51"/>
  <c r="N234" i="51"/>
  <c r="N233" i="51"/>
  <c r="N232" i="51"/>
  <c r="N231" i="51"/>
  <c r="N230" i="51"/>
  <c r="N229" i="51"/>
  <c r="M227" i="51"/>
  <c r="N212" i="51"/>
  <c r="N211" i="51"/>
  <c r="N210" i="51"/>
  <c r="N209" i="51"/>
  <c r="N208" i="51"/>
  <c r="N207" i="51"/>
  <c r="M205" i="51"/>
  <c r="N190" i="51"/>
  <c r="N189" i="51"/>
  <c r="N188" i="51"/>
  <c r="N187" i="51"/>
  <c r="N186" i="51"/>
  <c r="N185" i="51"/>
  <c r="M183" i="51"/>
  <c r="N168" i="51"/>
  <c r="N167" i="51"/>
  <c r="N166" i="51"/>
  <c r="N165" i="51"/>
  <c r="N164" i="51"/>
  <c r="N163" i="51"/>
  <c r="M161" i="51"/>
  <c r="N146" i="51"/>
  <c r="N145" i="51"/>
  <c r="N144" i="51"/>
  <c r="N143" i="51"/>
  <c r="N142" i="51"/>
  <c r="N141" i="51"/>
  <c r="M139" i="51"/>
  <c r="N124" i="51"/>
  <c r="N123" i="51"/>
  <c r="N122" i="51"/>
  <c r="N121" i="51"/>
  <c r="N120" i="51"/>
  <c r="N119" i="51"/>
  <c r="M117" i="51"/>
  <c r="N102" i="51"/>
  <c r="N101" i="51"/>
  <c r="N100" i="51"/>
  <c r="N99" i="51"/>
  <c r="N98" i="51"/>
  <c r="N97" i="51"/>
  <c r="M95" i="51"/>
  <c r="N80" i="51"/>
  <c r="N79" i="51"/>
  <c r="N78" i="51"/>
  <c r="N77" i="51"/>
  <c r="N76" i="51"/>
  <c r="N75" i="51"/>
  <c r="M73" i="51"/>
  <c r="N58" i="51"/>
  <c r="N57" i="51"/>
  <c r="N56" i="51"/>
  <c r="N55" i="51"/>
  <c r="N54" i="51"/>
  <c r="N53" i="51"/>
  <c r="M51" i="51"/>
  <c r="N36" i="51"/>
  <c r="N35" i="51"/>
  <c r="N34" i="51"/>
  <c r="N33" i="51"/>
  <c r="N32" i="51"/>
  <c r="N31" i="51"/>
  <c r="M29" i="51"/>
  <c r="N14" i="51"/>
  <c r="N13" i="51"/>
  <c r="N12" i="51"/>
  <c r="N11" i="51"/>
  <c r="N10" i="51"/>
  <c r="N9" i="51"/>
  <c r="L87" i="52"/>
  <c r="J87" i="52"/>
  <c r="H87" i="52"/>
  <c r="F87" i="52"/>
  <c r="L86" i="52"/>
  <c r="J86" i="52"/>
  <c r="H86" i="52"/>
  <c r="F86" i="52"/>
  <c r="L85" i="52"/>
  <c r="J85" i="52"/>
  <c r="H85" i="52"/>
  <c r="F85" i="52"/>
  <c r="L84" i="52"/>
  <c r="J84" i="52"/>
  <c r="H84" i="52"/>
  <c r="F84" i="52"/>
  <c r="L83" i="52"/>
  <c r="J83" i="52"/>
  <c r="H83" i="52"/>
  <c r="F83" i="52"/>
  <c r="L82" i="52"/>
  <c r="J82" i="52"/>
  <c r="H82" i="52"/>
  <c r="F82" i="52"/>
  <c r="L81" i="52"/>
  <c r="J81" i="52"/>
  <c r="H81" i="52"/>
  <c r="F81" i="52"/>
  <c r="L80" i="52"/>
  <c r="J80" i="52"/>
  <c r="H80" i="52"/>
  <c r="F80" i="52"/>
  <c r="L79" i="52"/>
  <c r="J79" i="52"/>
  <c r="H79" i="52"/>
  <c r="F79" i="52"/>
  <c r="L78" i="52"/>
  <c r="J78" i="52"/>
  <c r="H78" i="52"/>
  <c r="F78" i="52"/>
  <c r="L77" i="52"/>
  <c r="J77" i="52"/>
  <c r="H77" i="52"/>
  <c r="F77" i="52"/>
  <c r="L76" i="52"/>
  <c r="J76" i="52"/>
  <c r="H76" i="52"/>
  <c r="F76" i="52"/>
  <c r="L75" i="52"/>
  <c r="J75" i="52"/>
  <c r="H75" i="52"/>
  <c r="F75" i="52"/>
  <c r="L65" i="52"/>
  <c r="J65" i="52"/>
  <c r="H65" i="52"/>
  <c r="F65" i="52"/>
  <c r="L64" i="52"/>
  <c r="J64" i="52"/>
  <c r="H64" i="52"/>
  <c r="F64" i="52"/>
  <c r="L63" i="52"/>
  <c r="J63" i="52"/>
  <c r="H63" i="52"/>
  <c r="F63" i="52"/>
  <c r="L62" i="52"/>
  <c r="J62" i="52"/>
  <c r="H62" i="52"/>
  <c r="F62" i="52"/>
  <c r="L61" i="52"/>
  <c r="J61" i="52"/>
  <c r="H61" i="52"/>
  <c r="F61" i="52"/>
  <c r="L60" i="52"/>
  <c r="J60" i="52"/>
  <c r="H60" i="52"/>
  <c r="F60" i="52"/>
  <c r="L59" i="52"/>
  <c r="J59" i="52"/>
  <c r="H59" i="52"/>
  <c r="F59" i="52"/>
  <c r="L58" i="52"/>
  <c r="J58" i="52"/>
  <c r="H58" i="52"/>
  <c r="F58" i="52"/>
  <c r="L57" i="52"/>
  <c r="J57" i="52"/>
  <c r="H57" i="52"/>
  <c r="F57" i="52"/>
  <c r="L56" i="52"/>
  <c r="J56" i="52"/>
  <c r="H56" i="52"/>
  <c r="F56" i="52"/>
  <c r="L55" i="52"/>
  <c r="J55" i="52"/>
  <c r="H55" i="52"/>
  <c r="F55" i="52"/>
  <c r="L54" i="52"/>
  <c r="J54" i="52"/>
  <c r="H54" i="52"/>
  <c r="F54" i="52"/>
  <c r="L53" i="52"/>
  <c r="J53" i="52"/>
  <c r="H53" i="52"/>
  <c r="F53" i="52"/>
  <c r="L43" i="52"/>
  <c r="J43" i="52"/>
  <c r="H43" i="52"/>
  <c r="F43" i="52"/>
  <c r="L42" i="52"/>
  <c r="J42" i="52"/>
  <c r="H42" i="52"/>
  <c r="F42" i="52"/>
  <c r="L41" i="52"/>
  <c r="J41" i="52"/>
  <c r="H41" i="52"/>
  <c r="F41" i="52"/>
  <c r="L40" i="52"/>
  <c r="J40" i="52"/>
  <c r="H40" i="52"/>
  <c r="F40" i="52"/>
  <c r="L39" i="52"/>
  <c r="J39" i="52"/>
  <c r="H39" i="52"/>
  <c r="F39" i="52"/>
  <c r="L38" i="52"/>
  <c r="J38" i="52"/>
  <c r="H38" i="52"/>
  <c r="F38" i="52"/>
  <c r="L37" i="52"/>
  <c r="J37" i="52"/>
  <c r="H37" i="52"/>
  <c r="F37" i="52"/>
  <c r="L36" i="52"/>
  <c r="J36" i="52"/>
  <c r="H36" i="52"/>
  <c r="F36" i="52"/>
  <c r="L35" i="52"/>
  <c r="J35" i="52"/>
  <c r="H35" i="52"/>
  <c r="F35" i="52"/>
  <c r="L34" i="52"/>
  <c r="J34" i="52"/>
  <c r="H34" i="52"/>
  <c r="F34" i="52"/>
  <c r="L33" i="52"/>
  <c r="J33" i="52"/>
  <c r="H33" i="52"/>
  <c r="F33" i="52"/>
  <c r="L32" i="52"/>
  <c r="J32" i="52"/>
  <c r="H32" i="52"/>
  <c r="F32" i="52"/>
  <c r="L31" i="52"/>
  <c r="J31" i="52"/>
  <c r="H31" i="52"/>
  <c r="F31" i="52"/>
  <c r="L21" i="52"/>
  <c r="J21" i="52"/>
  <c r="H21" i="52"/>
  <c r="F21" i="52"/>
  <c r="L20" i="52"/>
  <c r="J20" i="52"/>
  <c r="H20" i="52"/>
  <c r="F20" i="52"/>
  <c r="L19" i="52"/>
  <c r="J19" i="52"/>
  <c r="H19" i="52"/>
  <c r="F19" i="52"/>
  <c r="L18" i="52"/>
  <c r="J18" i="52"/>
  <c r="H18" i="52"/>
  <c r="F18" i="52"/>
  <c r="L17" i="52"/>
  <c r="J17" i="52"/>
  <c r="H17" i="52"/>
  <c r="F17" i="52"/>
  <c r="L16" i="52"/>
  <c r="J16" i="52"/>
  <c r="H16" i="52"/>
  <c r="F16" i="52"/>
  <c r="L15" i="52"/>
  <c r="J15" i="52"/>
  <c r="H15" i="52"/>
  <c r="F15" i="52"/>
  <c r="L14" i="52"/>
  <c r="J14" i="52"/>
  <c r="H14" i="52"/>
  <c r="F14" i="52"/>
  <c r="L13" i="52"/>
  <c r="J13" i="52"/>
  <c r="H13" i="52"/>
  <c r="F13" i="52"/>
  <c r="L12" i="52"/>
  <c r="J12" i="52"/>
  <c r="H12" i="52"/>
  <c r="F12" i="52"/>
  <c r="L11" i="52"/>
  <c r="J11" i="52"/>
  <c r="H11" i="52"/>
  <c r="F11" i="52"/>
  <c r="L10" i="52"/>
  <c r="J10" i="52"/>
  <c r="H10" i="52"/>
  <c r="F10" i="52"/>
  <c r="L9" i="52"/>
  <c r="J9" i="52"/>
  <c r="H9" i="52"/>
  <c r="F9" i="52"/>
  <c r="K7" i="52"/>
  <c r="K73" i="52" s="1"/>
  <c r="L267" i="51"/>
  <c r="J267" i="51"/>
  <c r="H267" i="51"/>
  <c r="F267" i="51"/>
  <c r="L266" i="51"/>
  <c r="J266" i="51"/>
  <c r="H266" i="51"/>
  <c r="F266" i="51"/>
  <c r="L265" i="51"/>
  <c r="J265" i="51"/>
  <c r="H265" i="51"/>
  <c r="F265" i="51"/>
  <c r="L264" i="51"/>
  <c r="J264" i="51"/>
  <c r="H264" i="51"/>
  <c r="F264" i="51"/>
  <c r="L263" i="51"/>
  <c r="J263" i="51"/>
  <c r="H263" i="51"/>
  <c r="F263" i="51"/>
  <c r="L262" i="51"/>
  <c r="J262" i="51"/>
  <c r="H262" i="51"/>
  <c r="F262" i="51"/>
  <c r="L261" i="51"/>
  <c r="J261" i="51"/>
  <c r="H261" i="51"/>
  <c r="F261" i="51"/>
  <c r="L260" i="51"/>
  <c r="J260" i="51"/>
  <c r="H260" i="51"/>
  <c r="F260" i="51"/>
  <c r="L259" i="51"/>
  <c r="J259" i="51"/>
  <c r="H259" i="51"/>
  <c r="F259" i="51"/>
  <c r="L258" i="51"/>
  <c r="J258" i="51"/>
  <c r="H258" i="51"/>
  <c r="F258" i="51"/>
  <c r="L257" i="51"/>
  <c r="J257" i="51"/>
  <c r="H257" i="51"/>
  <c r="F257" i="51"/>
  <c r="L256" i="51"/>
  <c r="J256" i="51"/>
  <c r="H256" i="51"/>
  <c r="F256" i="51"/>
  <c r="L255" i="51"/>
  <c r="J255" i="51"/>
  <c r="H255" i="51"/>
  <c r="F255" i="51"/>
  <c r="B252" i="51"/>
  <c r="L241" i="51"/>
  <c r="J241" i="51"/>
  <c r="H241" i="51"/>
  <c r="F241" i="51"/>
  <c r="L240" i="51"/>
  <c r="J240" i="51"/>
  <c r="H240" i="51"/>
  <c r="F240" i="51"/>
  <c r="L239" i="51"/>
  <c r="J239" i="51"/>
  <c r="H239" i="51"/>
  <c r="F239" i="51"/>
  <c r="L238" i="51"/>
  <c r="J238" i="51"/>
  <c r="H238" i="51"/>
  <c r="F238" i="51"/>
  <c r="L237" i="51"/>
  <c r="J237" i="51"/>
  <c r="H237" i="51"/>
  <c r="F237" i="51"/>
  <c r="L236" i="51"/>
  <c r="J236" i="51"/>
  <c r="H236" i="51"/>
  <c r="F236" i="51"/>
  <c r="L235" i="51"/>
  <c r="J235" i="51"/>
  <c r="H235" i="51"/>
  <c r="F235" i="51"/>
  <c r="L234" i="51"/>
  <c r="J234" i="51"/>
  <c r="H234" i="51"/>
  <c r="F234" i="51"/>
  <c r="L233" i="51"/>
  <c r="J233" i="51"/>
  <c r="H233" i="51"/>
  <c r="F233" i="51"/>
  <c r="L232" i="51"/>
  <c r="J232" i="51"/>
  <c r="H232" i="51"/>
  <c r="F232" i="51"/>
  <c r="L231" i="51"/>
  <c r="J231" i="51"/>
  <c r="H231" i="51"/>
  <c r="F231" i="51"/>
  <c r="L230" i="51"/>
  <c r="J230" i="51"/>
  <c r="H230" i="51"/>
  <c r="F230" i="51"/>
  <c r="L229" i="51"/>
  <c r="J229" i="51"/>
  <c r="H229" i="51"/>
  <c r="F229" i="51"/>
  <c r="B226" i="51"/>
  <c r="L219" i="51"/>
  <c r="J219" i="51"/>
  <c r="H219" i="51"/>
  <c r="F219" i="51"/>
  <c r="L218" i="51"/>
  <c r="J218" i="51"/>
  <c r="H218" i="51"/>
  <c r="F218" i="51"/>
  <c r="L217" i="51"/>
  <c r="J217" i="51"/>
  <c r="H217" i="51"/>
  <c r="F217" i="51"/>
  <c r="L216" i="51"/>
  <c r="J216" i="51"/>
  <c r="H216" i="51"/>
  <c r="F216" i="51"/>
  <c r="L215" i="51"/>
  <c r="J215" i="51"/>
  <c r="H215" i="51"/>
  <c r="F215" i="51"/>
  <c r="L214" i="51"/>
  <c r="J214" i="51"/>
  <c r="H214" i="51"/>
  <c r="F214" i="51"/>
  <c r="L213" i="51"/>
  <c r="J213" i="51"/>
  <c r="H213" i="51"/>
  <c r="F213" i="51"/>
  <c r="L212" i="51"/>
  <c r="J212" i="51"/>
  <c r="H212" i="51"/>
  <c r="F212" i="51"/>
  <c r="L211" i="51"/>
  <c r="J211" i="51"/>
  <c r="H211" i="51"/>
  <c r="F211" i="51"/>
  <c r="L210" i="51"/>
  <c r="J210" i="51"/>
  <c r="H210" i="51"/>
  <c r="F210" i="51"/>
  <c r="L209" i="51"/>
  <c r="J209" i="51"/>
  <c r="H209" i="51"/>
  <c r="F209" i="51"/>
  <c r="L208" i="51"/>
  <c r="J208" i="51"/>
  <c r="H208" i="51"/>
  <c r="F208" i="51"/>
  <c r="L207" i="51"/>
  <c r="J207" i="51"/>
  <c r="H207" i="51"/>
  <c r="F207" i="51"/>
  <c r="B204" i="51"/>
  <c r="L197" i="51"/>
  <c r="J197" i="51"/>
  <c r="H197" i="51"/>
  <c r="F197" i="51"/>
  <c r="L196" i="51"/>
  <c r="J196" i="51"/>
  <c r="H196" i="51"/>
  <c r="F196" i="51"/>
  <c r="L195" i="51"/>
  <c r="J195" i="51"/>
  <c r="H195" i="51"/>
  <c r="F195" i="51"/>
  <c r="L194" i="51"/>
  <c r="J194" i="51"/>
  <c r="H194" i="51"/>
  <c r="F194" i="51"/>
  <c r="L193" i="51"/>
  <c r="J193" i="51"/>
  <c r="H193" i="51"/>
  <c r="F193" i="51"/>
  <c r="L192" i="51"/>
  <c r="J192" i="51"/>
  <c r="H192" i="51"/>
  <c r="F192" i="51"/>
  <c r="L191" i="51"/>
  <c r="J191" i="51"/>
  <c r="H191" i="51"/>
  <c r="F191" i="51"/>
  <c r="L190" i="51"/>
  <c r="J190" i="51"/>
  <c r="H190" i="51"/>
  <c r="F190" i="51"/>
  <c r="L189" i="51"/>
  <c r="J189" i="51"/>
  <c r="H189" i="51"/>
  <c r="F189" i="51"/>
  <c r="L188" i="51"/>
  <c r="J188" i="51"/>
  <c r="H188" i="51"/>
  <c r="F188" i="51"/>
  <c r="L187" i="51"/>
  <c r="J187" i="51"/>
  <c r="H187" i="51"/>
  <c r="F187" i="51"/>
  <c r="L186" i="51"/>
  <c r="J186" i="51"/>
  <c r="H186" i="51"/>
  <c r="F186" i="51"/>
  <c r="L185" i="51"/>
  <c r="J185" i="51"/>
  <c r="H185" i="51"/>
  <c r="F185" i="51"/>
  <c r="B182" i="51"/>
  <c r="L175" i="51"/>
  <c r="J175" i="51"/>
  <c r="H175" i="51"/>
  <c r="F175" i="51"/>
  <c r="L174" i="51"/>
  <c r="J174" i="51"/>
  <c r="H174" i="51"/>
  <c r="F174" i="51"/>
  <c r="L173" i="51"/>
  <c r="J173" i="51"/>
  <c r="H173" i="51"/>
  <c r="F173" i="51"/>
  <c r="L172" i="51"/>
  <c r="J172" i="51"/>
  <c r="H172" i="51"/>
  <c r="F172" i="51"/>
  <c r="L171" i="51"/>
  <c r="J171" i="51"/>
  <c r="H171" i="51"/>
  <c r="F171" i="51"/>
  <c r="L170" i="51"/>
  <c r="J170" i="51"/>
  <c r="H170" i="51"/>
  <c r="F170" i="51"/>
  <c r="L169" i="51"/>
  <c r="J169" i="51"/>
  <c r="H169" i="51"/>
  <c r="F169" i="51"/>
  <c r="L168" i="51"/>
  <c r="J168" i="51"/>
  <c r="H168" i="51"/>
  <c r="F168" i="51"/>
  <c r="L167" i="51"/>
  <c r="J167" i="51"/>
  <c r="H167" i="51"/>
  <c r="F167" i="51"/>
  <c r="L166" i="51"/>
  <c r="J166" i="51"/>
  <c r="H166" i="51"/>
  <c r="F166" i="51"/>
  <c r="L165" i="51"/>
  <c r="J165" i="51"/>
  <c r="H165" i="51"/>
  <c r="F165" i="51"/>
  <c r="L164" i="51"/>
  <c r="J164" i="51"/>
  <c r="H164" i="51"/>
  <c r="F164" i="51"/>
  <c r="L163" i="51"/>
  <c r="J163" i="51"/>
  <c r="H163" i="51"/>
  <c r="F163" i="51"/>
  <c r="B160" i="51"/>
  <c r="L153" i="51"/>
  <c r="J153" i="51"/>
  <c r="H153" i="51"/>
  <c r="F153" i="51"/>
  <c r="L152" i="51"/>
  <c r="J152" i="51"/>
  <c r="H152" i="51"/>
  <c r="F152" i="51"/>
  <c r="L151" i="51"/>
  <c r="J151" i="51"/>
  <c r="H151" i="51"/>
  <c r="F151" i="51"/>
  <c r="L150" i="51"/>
  <c r="J150" i="51"/>
  <c r="H150" i="51"/>
  <c r="F150" i="51"/>
  <c r="L149" i="51"/>
  <c r="J149" i="51"/>
  <c r="H149" i="51"/>
  <c r="F149" i="51"/>
  <c r="L148" i="51"/>
  <c r="J148" i="51"/>
  <c r="H148" i="51"/>
  <c r="F148" i="51"/>
  <c r="L147" i="51"/>
  <c r="J147" i="51"/>
  <c r="H147" i="51"/>
  <c r="F147" i="51"/>
  <c r="L146" i="51"/>
  <c r="J146" i="51"/>
  <c r="H146" i="51"/>
  <c r="F146" i="51"/>
  <c r="L145" i="51"/>
  <c r="J145" i="51"/>
  <c r="H145" i="51"/>
  <c r="F145" i="51"/>
  <c r="L144" i="51"/>
  <c r="J144" i="51"/>
  <c r="H144" i="51"/>
  <c r="F144" i="51"/>
  <c r="L143" i="51"/>
  <c r="J143" i="51"/>
  <c r="H143" i="51"/>
  <c r="F143" i="51"/>
  <c r="L142" i="51"/>
  <c r="J142" i="51"/>
  <c r="H142" i="51"/>
  <c r="F142" i="51"/>
  <c r="L141" i="51"/>
  <c r="J141" i="51"/>
  <c r="H141" i="51"/>
  <c r="F141" i="51"/>
  <c r="B138" i="51"/>
  <c r="L131" i="51"/>
  <c r="J131" i="51"/>
  <c r="H131" i="51"/>
  <c r="F131" i="51"/>
  <c r="L130" i="51"/>
  <c r="J130" i="51"/>
  <c r="H130" i="51"/>
  <c r="F130" i="51"/>
  <c r="L129" i="51"/>
  <c r="J129" i="51"/>
  <c r="H129" i="51"/>
  <c r="F129" i="51"/>
  <c r="L128" i="51"/>
  <c r="J128" i="51"/>
  <c r="H128" i="51"/>
  <c r="F128" i="51"/>
  <c r="L127" i="51"/>
  <c r="J127" i="51"/>
  <c r="H127" i="51"/>
  <c r="F127" i="51"/>
  <c r="L126" i="51"/>
  <c r="J126" i="51"/>
  <c r="H126" i="51"/>
  <c r="F126" i="51"/>
  <c r="L125" i="51"/>
  <c r="J125" i="51"/>
  <c r="H125" i="51"/>
  <c r="F125" i="51"/>
  <c r="L124" i="51"/>
  <c r="J124" i="51"/>
  <c r="H124" i="51"/>
  <c r="F124" i="51"/>
  <c r="L123" i="51"/>
  <c r="J123" i="51"/>
  <c r="H123" i="51"/>
  <c r="F123" i="51"/>
  <c r="L122" i="51"/>
  <c r="J122" i="51"/>
  <c r="H122" i="51"/>
  <c r="F122" i="51"/>
  <c r="L121" i="51"/>
  <c r="J121" i="51"/>
  <c r="H121" i="51"/>
  <c r="F121" i="51"/>
  <c r="L120" i="51"/>
  <c r="J120" i="51"/>
  <c r="H120" i="51"/>
  <c r="F120" i="51"/>
  <c r="L119" i="51"/>
  <c r="J119" i="51"/>
  <c r="H119" i="51"/>
  <c r="F119" i="51"/>
  <c r="B116" i="51"/>
  <c r="L109" i="51"/>
  <c r="J109" i="51"/>
  <c r="H109" i="51"/>
  <c r="F109" i="51"/>
  <c r="L108" i="51"/>
  <c r="J108" i="51"/>
  <c r="H108" i="51"/>
  <c r="F108" i="51"/>
  <c r="L107" i="51"/>
  <c r="J107" i="51"/>
  <c r="H107" i="51"/>
  <c r="F107" i="51"/>
  <c r="L106" i="51"/>
  <c r="J106" i="51"/>
  <c r="H106" i="51"/>
  <c r="F106" i="51"/>
  <c r="L105" i="51"/>
  <c r="J105" i="51"/>
  <c r="H105" i="51"/>
  <c r="F105" i="51"/>
  <c r="L104" i="51"/>
  <c r="J104" i="51"/>
  <c r="H104" i="51"/>
  <c r="F104" i="51"/>
  <c r="L103" i="51"/>
  <c r="J103" i="51"/>
  <c r="H103" i="51"/>
  <c r="F103" i="51"/>
  <c r="L102" i="51"/>
  <c r="J102" i="51"/>
  <c r="H102" i="51"/>
  <c r="F102" i="51"/>
  <c r="L101" i="51"/>
  <c r="J101" i="51"/>
  <c r="H101" i="51"/>
  <c r="F101" i="51"/>
  <c r="L100" i="51"/>
  <c r="J100" i="51"/>
  <c r="H100" i="51"/>
  <c r="F100" i="51"/>
  <c r="L99" i="51"/>
  <c r="J99" i="51"/>
  <c r="H99" i="51"/>
  <c r="F99" i="51"/>
  <c r="L98" i="51"/>
  <c r="J98" i="51"/>
  <c r="H98" i="51"/>
  <c r="F98" i="51"/>
  <c r="L97" i="51"/>
  <c r="J97" i="51"/>
  <c r="H97" i="51"/>
  <c r="F97" i="51"/>
  <c r="K95" i="51"/>
  <c r="L87" i="51"/>
  <c r="J87" i="51"/>
  <c r="H87" i="51"/>
  <c r="F87" i="51"/>
  <c r="L86" i="51"/>
  <c r="J86" i="51"/>
  <c r="H86" i="51"/>
  <c r="F86" i="51"/>
  <c r="L85" i="51"/>
  <c r="J85" i="51"/>
  <c r="H85" i="51"/>
  <c r="F85" i="51"/>
  <c r="L84" i="51"/>
  <c r="J84" i="51"/>
  <c r="H84" i="51"/>
  <c r="F84" i="51"/>
  <c r="L83" i="51"/>
  <c r="J83" i="51"/>
  <c r="H83" i="51"/>
  <c r="F83" i="51"/>
  <c r="L82" i="51"/>
  <c r="J82" i="51"/>
  <c r="H82" i="51"/>
  <c r="F82" i="51"/>
  <c r="L81" i="51"/>
  <c r="J81" i="51"/>
  <c r="H81" i="51"/>
  <c r="F81" i="51"/>
  <c r="L80" i="51"/>
  <c r="J80" i="51"/>
  <c r="H80" i="51"/>
  <c r="F80" i="51"/>
  <c r="L79" i="51"/>
  <c r="J79" i="51"/>
  <c r="H79" i="51"/>
  <c r="F79" i="51"/>
  <c r="L78" i="51"/>
  <c r="J78" i="51"/>
  <c r="H78" i="51"/>
  <c r="F78" i="51"/>
  <c r="L77" i="51"/>
  <c r="J77" i="51"/>
  <c r="H77" i="51"/>
  <c r="F77" i="51"/>
  <c r="L76" i="51"/>
  <c r="J76" i="51"/>
  <c r="H76" i="51"/>
  <c r="F76" i="51"/>
  <c r="L75" i="51"/>
  <c r="J75" i="51"/>
  <c r="H75" i="51"/>
  <c r="F75" i="51"/>
  <c r="L65" i="51"/>
  <c r="J65" i="51"/>
  <c r="H65" i="51"/>
  <c r="F65" i="51"/>
  <c r="L64" i="51"/>
  <c r="J64" i="51"/>
  <c r="H64" i="51"/>
  <c r="F64" i="51"/>
  <c r="L63" i="51"/>
  <c r="J63" i="51"/>
  <c r="H63" i="51"/>
  <c r="F63" i="51"/>
  <c r="L62" i="51"/>
  <c r="J62" i="51"/>
  <c r="H62" i="51"/>
  <c r="F62" i="51"/>
  <c r="L61" i="51"/>
  <c r="J61" i="51"/>
  <c r="H61" i="51"/>
  <c r="F61" i="51"/>
  <c r="L60" i="51"/>
  <c r="J60" i="51"/>
  <c r="H60" i="51"/>
  <c r="F60" i="51"/>
  <c r="L59" i="51"/>
  <c r="J59" i="51"/>
  <c r="H59" i="51"/>
  <c r="F59" i="51"/>
  <c r="L58" i="51"/>
  <c r="J58" i="51"/>
  <c r="H58" i="51"/>
  <c r="F58" i="51"/>
  <c r="L57" i="51"/>
  <c r="J57" i="51"/>
  <c r="H57" i="51"/>
  <c r="F57" i="51"/>
  <c r="L56" i="51"/>
  <c r="J56" i="51"/>
  <c r="H56" i="51"/>
  <c r="F56" i="51"/>
  <c r="L55" i="51"/>
  <c r="J55" i="51"/>
  <c r="H55" i="51"/>
  <c r="F55" i="51"/>
  <c r="L54" i="51"/>
  <c r="J54" i="51"/>
  <c r="H54" i="51"/>
  <c r="F54" i="51"/>
  <c r="L53" i="51"/>
  <c r="J53" i="51"/>
  <c r="H53" i="51"/>
  <c r="F53" i="51"/>
  <c r="L43" i="51"/>
  <c r="J43" i="51"/>
  <c r="H43" i="51"/>
  <c r="F43" i="51"/>
  <c r="L42" i="51"/>
  <c r="J42" i="51"/>
  <c r="H42" i="51"/>
  <c r="F42" i="51"/>
  <c r="L41" i="51"/>
  <c r="J41" i="51"/>
  <c r="H41" i="51"/>
  <c r="F41" i="51"/>
  <c r="L40" i="51"/>
  <c r="J40" i="51"/>
  <c r="H40" i="51"/>
  <c r="F40" i="51"/>
  <c r="L39" i="51"/>
  <c r="J39" i="51"/>
  <c r="H39" i="51"/>
  <c r="F39" i="51"/>
  <c r="L38" i="51"/>
  <c r="J38" i="51"/>
  <c r="H38" i="51"/>
  <c r="F38" i="51"/>
  <c r="L37" i="51"/>
  <c r="J37" i="51"/>
  <c r="H37" i="51"/>
  <c r="F37" i="51"/>
  <c r="L36" i="51"/>
  <c r="J36" i="51"/>
  <c r="H36" i="51"/>
  <c r="F36" i="51"/>
  <c r="L35" i="51"/>
  <c r="J35" i="51"/>
  <c r="H35" i="51"/>
  <c r="F35" i="51"/>
  <c r="L34" i="51"/>
  <c r="J34" i="51"/>
  <c r="H34" i="51"/>
  <c r="F34" i="51"/>
  <c r="L33" i="51"/>
  <c r="J33" i="51"/>
  <c r="H33" i="51"/>
  <c r="F33" i="51"/>
  <c r="L32" i="51"/>
  <c r="J32" i="51"/>
  <c r="H32" i="51"/>
  <c r="F32" i="51"/>
  <c r="L31" i="51"/>
  <c r="J31" i="51"/>
  <c r="H31" i="51"/>
  <c r="F31" i="51"/>
  <c r="L21" i="51"/>
  <c r="J21" i="51"/>
  <c r="H21" i="51"/>
  <c r="F21" i="51"/>
  <c r="L20" i="51"/>
  <c r="J20" i="51"/>
  <c r="H20" i="51"/>
  <c r="F20" i="51"/>
  <c r="L19" i="51"/>
  <c r="J19" i="51"/>
  <c r="H19" i="51"/>
  <c r="F19" i="51"/>
  <c r="L18" i="51"/>
  <c r="J18" i="51"/>
  <c r="H18" i="51"/>
  <c r="F18" i="51"/>
  <c r="L17" i="51"/>
  <c r="J17" i="51"/>
  <c r="H17" i="51"/>
  <c r="F17" i="51"/>
  <c r="L16" i="51"/>
  <c r="J16" i="51"/>
  <c r="H16" i="51"/>
  <c r="F16" i="51"/>
  <c r="L15" i="51"/>
  <c r="J15" i="51"/>
  <c r="H15" i="51"/>
  <c r="F15" i="51"/>
  <c r="L14" i="51"/>
  <c r="J14" i="51"/>
  <c r="H14" i="51"/>
  <c r="F14" i="51"/>
  <c r="L13" i="51"/>
  <c r="J13" i="51"/>
  <c r="H13" i="51"/>
  <c r="F13" i="51"/>
  <c r="L12" i="51"/>
  <c r="J12" i="51"/>
  <c r="H12" i="51"/>
  <c r="F12" i="51"/>
  <c r="L11" i="51"/>
  <c r="J11" i="51"/>
  <c r="H11" i="51"/>
  <c r="F11" i="51"/>
  <c r="L10" i="51"/>
  <c r="J10" i="51"/>
  <c r="H10" i="51"/>
  <c r="F10" i="51"/>
  <c r="L9" i="51"/>
  <c r="J9" i="51"/>
  <c r="H9" i="51"/>
  <c r="F9" i="51"/>
  <c r="K7" i="51"/>
  <c r="K205" i="51" s="1"/>
  <c r="N80" i="50"/>
  <c r="N79" i="50"/>
  <c r="N78" i="50"/>
  <c r="N77" i="50"/>
  <c r="N76" i="50"/>
  <c r="N75" i="50"/>
  <c r="N74" i="50"/>
  <c r="N58" i="50"/>
  <c r="N57" i="50"/>
  <c r="N56" i="50"/>
  <c r="N55" i="50"/>
  <c r="N54" i="50"/>
  <c r="N53" i="50"/>
  <c r="N52" i="50"/>
  <c r="N36" i="50"/>
  <c r="N35" i="50"/>
  <c r="N34" i="50"/>
  <c r="N33" i="50"/>
  <c r="N32" i="50"/>
  <c r="N31" i="50"/>
  <c r="N30" i="50"/>
  <c r="N14" i="50"/>
  <c r="N13" i="50"/>
  <c r="N12" i="50"/>
  <c r="N11" i="50"/>
  <c r="N10" i="50"/>
  <c r="N9" i="50"/>
  <c r="N8" i="50"/>
  <c r="L87" i="50"/>
  <c r="J87" i="50"/>
  <c r="H87" i="50"/>
  <c r="F87" i="50"/>
  <c r="L86" i="50"/>
  <c r="J86" i="50"/>
  <c r="H86" i="50"/>
  <c r="F86" i="50"/>
  <c r="L85" i="50"/>
  <c r="J85" i="50"/>
  <c r="H85" i="50"/>
  <c r="F85" i="50"/>
  <c r="L84" i="50"/>
  <c r="J84" i="50"/>
  <c r="H84" i="50"/>
  <c r="F84" i="50"/>
  <c r="L83" i="50"/>
  <c r="J83" i="50"/>
  <c r="H83" i="50"/>
  <c r="F83" i="50"/>
  <c r="L82" i="50"/>
  <c r="J82" i="50"/>
  <c r="H82" i="50"/>
  <c r="F82" i="50"/>
  <c r="L81" i="50"/>
  <c r="J81" i="50"/>
  <c r="H81" i="50"/>
  <c r="F81" i="50"/>
  <c r="L80" i="50"/>
  <c r="J80" i="50"/>
  <c r="H80" i="50"/>
  <c r="F80" i="50"/>
  <c r="L79" i="50"/>
  <c r="J79" i="50"/>
  <c r="H79" i="50"/>
  <c r="F79" i="50"/>
  <c r="L78" i="50"/>
  <c r="J78" i="50"/>
  <c r="H78" i="50"/>
  <c r="F78" i="50"/>
  <c r="L77" i="50"/>
  <c r="J77" i="50"/>
  <c r="H77" i="50"/>
  <c r="F77" i="50"/>
  <c r="L76" i="50"/>
  <c r="J76" i="50"/>
  <c r="H76" i="50"/>
  <c r="F76" i="50"/>
  <c r="L75" i="50"/>
  <c r="J75" i="50"/>
  <c r="H75" i="50"/>
  <c r="F75" i="50"/>
  <c r="L74" i="50"/>
  <c r="J74" i="50"/>
  <c r="H74" i="50"/>
  <c r="L65" i="50"/>
  <c r="J65" i="50"/>
  <c r="H65" i="50"/>
  <c r="F65" i="50"/>
  <c r="L64" i="50"/>
  <c r="J64" i="50"/>
  <c r="H64" i="50"/>
  <c r="F64" i="50"/>
  <c r="L63" i="50"/>
  <c r="J63" i="50"/>
  <c r="H63" i="50"/>
  <c r="F63" i="50"/>
  <c r="L62" i="50"/>
  <c r="J62" i="50"/>
  <c r="H62" i="50"/>
  <c r="F62" i="50"/>
  <c r="L61" i="50"/>
  <c r="J61" i="50"/>
  <c r="H61" i="50"/>
  <c r="F61" i="50"/>
  <c r="L60" i="50"/>
  <c r="J60" i="50"/>
  <c r="H60" i="50"/>
  <c r="F60" i="50"/>
  <c r="L59" i="50"/>
  <c r="J59" i="50"/>
  <c r="H59" i="50"/>
  <c r="F59" i="50"/>
  <c r="L58" i="50"/>
  <c r="J58" i="50"/>
  <c r="H58" i="50"/>
  <c r="F58" i="50"/>
  <c r="L57" i="50"/>
  <c r="J57" i="50"/>
  <c r="H57" i="50"/>
  <c r="F57" i="50"/>
  <c r="L56" i="50"/>
  <c r="J56" i="50"/>
  <c r="H56" i="50"/>
  <c r="F56" i="50"/>
  <c r="L55" i="50"/>
  <c r="J55" i="50"/>
  <c r="H55" i="50"/>
  <c r="F55" i="50"/>
  <c r="L54" i="50"/>
  <c r="J54" i="50"/>
  <c r="H54" i="50"/>
  <c r="F54" i="50"/>
  <c r="L53" i="50"/>
  <c r="J53" i="50"/>
  <c r="H53" i="50"/>
  <c r="F53" i="50"/>
  <c r="L52" i="50"/>
  <c r="J52" i="50"/>
  <c r="H52" i="50"/>
  <c r="L43" i="50"/>
  <c r="J43" i="50"/>
  <c r="H43" i="50"/>
  <c r="F43" i="50"/>
  <c r="L42" i="50"/>
  <c r="J42" i="50"/>
  <c r="H42" i="50"/>
  <c r="F42" i="50"/>
  <c r="L41" i="50"/>
  <c r="J41" i="50"/>
  <c r="H41" i="50"/>
  <c r="F41" i="50"/>
  <c r="L40" i="50"/>
  <c r="J40" i="50"/>
  <c r="H40" i="50"/>
  <c r="F40" i="50"/>
  <c r="L39" i="50"/>
  <c r="J39" i="50"/>
  <c r="H39" i="50"/>
  <c r="F39" i="50"/>
  <c r="L38" i="50"/>
  <c r="J38" i="50"/>
  <c r="H38" i="50"/>
  <c r="F38" i="50"/>
  <c r="L37" i="50"/>
  <c r="J37" i="50"/>
  <c r="H37" i="50"/>
  <c r="F37" i="50"/>
  <c r="L36" i="50"/>
  <c r="J36" i="50"/>
  <c r="H36" i="50"/>
  <c r="F36" i="50"/>
  <c r="L35" i="50"/>
  <c r="J35" i="50"/>
  <c r="H35" i="50"/>
  <c r="F35" i="50"/>
  <c r="L34" i="50"/>
  <c r="J34" i="50"/>
  <c r="H34" i="50"/>
  <c r="F34" i="50"/>
  <c r="L33" i="50"/>
  <c r="J33" i="50"/>
  <c r="H33" i="50"/>
  <c r="F33" i="50"/>
  <c r="L32" i="50"/>
  <c r="J32" i="50"/>
  <c r="H32" i="50"/>
  <c r="F32" i="50"/>
  <c r="L31" i="50"/>
  <c r="J31" i="50"/>
  <c r="H31" i="50"/>
  <c r="F31" i="50"/>
  <c r="L30" i="50"/>
  <c r="J30" i="50"/>
  <c r="H30" i="50"/>
  <c r="L21" i="50"/>
  <c r="J21" i="50"/>
  <c r="H21" i="50"/>
  <c r="F21" i="50"/>
  <c r="L20" i="50"/>
  <c r="J20" i="50"/>
  <c r="H20" i="50"/>
  <c r="F20" i="50"/>
  <c r="L19" i="50"/>
  <c r="J19" i="50"/>
  <c r="H19" i="50"/>
  <c r="F19" i="50"/>
  <c r="L18" i="50"/>
  <c r="J18" i="50"/>
  <c r="H18" i="50"/>
  <c r="F18" i="50"/>
  <c r="L17" i="50"/>
  <c r="J17" i="50"/>
  <c r="H17" i="50"/>
  <c r="F17" i="50"/>
  <c r="L16" i="50"/>
  <c r="J16" i="50"/>
  <c r="H16" i="50"/>
  <c r="F16" i="50"/>
  <c r="L15" i="50"/>
  <c r="J15" i="50"/>
  <c r="H15" i="50"/>
  <c r="F15" i="50"/>
  <c r="L14" i="50"/>
  <c r="J14" i="50"/>
  <c r="H14" i="50"/>
  <c r="F14" i="50"/>
  <c r="L13" i="50"/>
  <c r="J13" i="50"/>
  <c r="H13" i="50"/>
  <c r="F13" i="50"/>
  <c r="L12" i="50"/>
  <c r="J12" i="50"/>
  <c r="H12" i="50"/>
  <c r="F12" i="50"/>
  <c r="L11" i="50"/>
  <c r="J11" i="50"/>
  <c r="H11" i="50"/>
  <c r="F11" i="50"/>
  <c r="L10" i="50"/>
  <c r="J10" i="50"/>
  <c r="H10" i="50"/>
  <c r="F10" i="50"/>
  <c r="L9" i="50"/>
  <c r="J9" i="50"/>
  <c r="H9" i="50"/>
  <c r="F9" i="50"/>
  <c r="K7" i="50"/>
  <c r="I7" i="50" s="1"/>
  <c r="N278" i="49"/>
  <c r="N277" i="49"/>
  <c r="N276" i="49"/>
  <c r="N275" i="49"/>
  <c r="N274" i="49"/>
  <c r="N273" i="49"/>
  <c r="M271" i="49"/>
  <c r="N272" i="49" s="1"/>
  <c r="N256" i="49"/>
  <c r="N255" i="49"/>
  <c r="N254" i="49"/>
  <c r="N253" i="49"/>
  <c r="N252" i="49"/>
  <c r="N251" i="49"/>
  <c r="M249" i="49"/>
  <c r="N250" i="49" s="1"/>
  <c r="N234" i="49"/>
  <c r="N233" i="49"/>
  <c r="N232" i="49"/>
  <c r="N231" i="49"/>
  <c r="N230" i="49"/>
  <c r="N229" i="49"/>
  <c r="M227" i="49"/>
  <c r="N228" i="49" s="1"/>
  <c r="N212" i="49"/>
  <c r="N211" i="49"/>
  <c r="N210" i="49"/>
  <c r="N209" i="49"/>
  <c r="N208" i="49"/>
  <c r="N207" i="49"/>
  <c r="M205" i="49"/>
  <c r="N206" i="49" s="1"/>
  <c r="N190" i="49"/>
  <c r="N189" i="49"/>
  <c r="N188" i="49"/>
  <c r="N187" i="49"/>
  <c r="N186" i="49"/>
  <c r="N185" i="49"/>
  <c r="M183" i="49"/>
  <c r="N184" i="49" s="1"/>
  <c r="N168" i="49"/>
  <c r="N167" i="49"/>
  <c r="N166" i="49"/>
  <c r="N165" i="49"/>
  <c r="N164" i="49"/>
  <c r="N163" i="49"/>
  <c r="M161" i="49"/>
  <c r="N162" i="49" s="1"/>
  <c r="N146" i="49"/>
  <c r="N145" i="49"/>
  <c r="N144" i="49"/>
  <c r="N143" i="49"/>
  <c r="N142" i="49"/>
  <c r="N141" i="49"/>
  <c r="M139" i="49"/>
  <c r="N140" i="49" s="1"/>
  <c r="N124" i="49"/>
  <c r="N123" i="49"/>
  <c r="N122" i="49"/>
  <c r="N121" i="49"/>
  <c r="N120" i="49"/>
  <c r="N119" i="49"/>
  <c r="M117" i="49"/>
  <c r="N118" i="49" s="1"/>
  <c r="N102" i="49"/>
  <c r="N101" i="49"/>
  <c r="N100" i="49"/>
  <c r="N99" i="49"/>
  <c r="N98" i="49"/>
  <c r="N97" i="49"/>
  <c r="M95" i="49"/>
  <c r="N96" i="49" s="1"/>
  <c r="N80" i="49"/>
  <c r="N79" i="49"/>
  <c r="N78" i="49"/>
  <c r="N77" i="49"/>
  <c r="N76" i="49"/>
  <c r="N75" i="49"/>
  <c r="M73" i="49"/>
  <c r="N74" i="49" s="1"/>
  <c r="N58" i="49"/>
  <c r="N57" i="49"/>
  <c r="N56" i="49"/>
  <c r="N55" i="49"/>
  <c r="N54" i="49"/>
  <c r="N53" i="49"/>
  <c r="M51" i="49"/>
  <c r="N52" i="49" s="1"/>
  <c r="N36" i="49"/>
  <c r="N35" i="49"/>
  <c r="N34" i="49"/>
  <c r="N33" i="49"/>
  <c r="N32" i="49"/>
  <c r="N31" i="49"/>
  <c r="M29" i="49"/>
  <c r="N30" i="49" s="1"/>
  <c r="N14" i="49"/>
  <c r="N13" i="49"/>
  <c r="N12" i="49"/>
  <c r="N11" i="49"/>
  <c r="N10" i="49"/>
  <c r="N9" i="49"/>
  <c r="N8" i="49"/>
  <c r="L285" i="49"/>
  <c r="J285" i="49"/>
  <c r="H285" i="49"/>
  <c r="F285" i="49"/>
  <c r="L284" i="49"/>
  <c r="J284" i="49"/>
  <c r="H284" i="49"/>
  <c r="F284" i="49"/>
  <c r="L283" i="49"/>
  <c r="J283" i="49"/>
  <c r="H283" i="49"/>
  <c r="F283" i="49"/>
  <c r="L282" i="49"/>
  <c r="J282" i="49"/>
  <c r="H282" i="49"/>
  <c r="F282" i="49"/>
  <c r="L281" i="49"/>
  <c r="J281" i="49"/>
  <c r="H281" i="49"/>
  <c r="F281" i="49"/>
  <c r="L280" i="49"/>
  <c r="J280" i="49"/>
  <c r="H280" i="49"/>
  <c r="F280" i="49"/>
  <c r="L279" i="49"/>
  <c r="J279" i="49"/>
  <c r="H279" i="49"/>
  <c r="F279" i="49"/>
  <c r="L278" i="49"/>
  <c r="J278" i="49"/>
  <c r="H278" i="49"/>
  <c r="F278" i="49"/>
  <c r="L277" i="49"/>
  <c r="J277" i="49"/>
  <c r="H277" i="49"/>
  <c r="F277" i="49"/>
  <c r="L276" i="49"/>
  <c r="J276" i="49"/>
  <c r="H276" i="49"/>
  <c r="F276" i="49"/>
  <c r="L275" i="49"/>
  <c r="J275" i="49"/>
  <c r="H275" i="49"/>
  <c r="F275" i="49"/>
  <c r="L274" i="49"/>
  <c r="J274" i="49"/>
  <c r="H274" i="49"/>
  <c r="F274" i="49"/>
  <c r="L273" i="49"/>
  <c r="J273" i="49"/>
  <c r="H273" i="49"/>
  <c r="F273" i="49"/>
  <c r="B270" i="49"/>
  <c r="L263" i="49"/>
  <c r="J263" i="49"/>
  <c r="H263" i="49"/>
  <c r="F263" i="49"/>
  <c r="L262" i="49"/>
  <c r="J262" i="49"/>
  <c r="H262" i="49"/>
  <c r="F262" i="49"/>
  <c r="L261" i="49"/>
  <c r="J261" i="49"/>
  <c r="H261" i="49"/>
  <c r="F261" i="49"/>
  <c r="L260" i="49"/>
  <c r="J260" i="49"/>
  <c r="H260" i="49"/>
  <c r="F260" i="49"/>
  <c r="L259" i="49"/>
  <c r="J259" i="49"/>
  <c r="H259" i="49"/>
  <c r="F259" i="49"/>
  <c r="L258" i="49"/>
  <c r="J258" i="49"/>
  <c r="H258" i="49"/>
  <c r="F258" i="49"/>
  <c r="L257" i="49"/>
  <c r="J257" i="49"/>
  <c r="H257" i="49"/>
  <c r="F257" i="49"/>
  <c r="L256" i="49"/>
  <c r="J256" i="49"/>
  <c r="H256" i="49"/>
  <c r="F256" i="49"/>
  <c r="L255" i="49"/>
  <c r="J255" i="49"/>
  <c r="H255" i="49"/>
  <c r="F255" i="49"/>
  <c r="L254" i="49"/>
  <c r="J254" i="49"/>
  <c r="H254" i="49"/>
  <c r="F254" i="49"/>
  <c r="L253" i="49"/>
  <c r="J253" i="49"/>
  <c r="H253" i="49"/>
  <c r="F253" i="49"/>
  <c r="L252" i="49"/>
  <c r="J252" i="49"/>
  <c r="H252" i="49"/>
  <c r="F252" i="49"/>
  <c r="L251" i="49"/>
  <c r="J251" i="49"/>
  <c r="H251" i="49"/>
  <c r="F251" i="49"/>
  <c r="B248" i="49"/>
  <c r="L241" i="49"/>
  <c r="J241" i="49"/>
  <c r="H241" i="49"/>
  <c r="F241" i="49"/>
  <c r="L240" i="49"/>
  <c r="J240" i="49"/>
  <c r="H240" i="49"/>
  <c r="F240" i="49"/>
  <c r="L239" i="49"/>
  <c r="J239" i="49"/>
  <c r="H239" i="49"/>
  <c r="F239" i="49"/>
  <c r="L238" i="49"/>
  <c r="J238" i="49"/>
  <c r="H238" i="49"/>
  <c r="F238" i="49"/>
  <c r="L237" i="49"/>
  <c r="J237" i="49"/>
  <c r="H237" i="49"/>
  <c r="F237" i="49"/>
  <c r="L236" i="49"/>
  <c r="J236" i="49"/>
  <c r="H236" i="49"/>
  <c r="F236" i="49"/>
  <c r="L235" i="49"/>
  <c r="J235" i="49"/>
  <c r="H235" i="49"/>
  <c r="F235" i="49"/>
  <c r="L234" i="49"/>
  <c r="J234" i="49"/>
  <c r="H234" i="49"/>
  <c r="F234" i="49"/>
  <c r="L233" i="49"/>
  <c r="J233" i="49"/>
  <c r="H233" i="49"/>
  <c r="F233" i="49"/>
  <c r="L232" i="49"/>
  <c r="J232" i="49"/>
  <c r="H232" i="49"/>
  <c r="F232" i="49"/>
  <c r="L231" i="49"/>
  <c r="J231" i="49"/>
  <c r="H231" i="49"/>
  <c r="F231" i="49"/>
  <c r="L230" i="49"/>
  <c r="J230" i="49"/>
  <c r="H230" i="49"/>
  <c r="F230" i="49"/>
  <c r="L229" i="49"/>
  <c r="J229" i="49"/>
  <c r="H229" i="49"/>
  <c r="F229" i="49"/>
  <c r="B226" i="49"/>
  <c r="L219" i="49"/>
  <c r="J219" i="49"/>
  <c r="H219" i="49"/>
  <c r="F219" i="49"/>
  <c r="L218" i="49"/>
  <c r="J218" i="49"/>
  <c r="H218" i="49"/>
  <c r="F218" i="49"/>
  <c r="L217" i="49"/>
  <c r="J217" i="49"/>
  <c r="H217" i="49"/>
  <c r="F217" i="49"/>
  <c r="L216" i="49"/>
  <c r="J216" i="49"/>
  <c r="H216" i="49"/>
  <c r="F216" i="49"/>
  <c r="L215" i="49"/>
  <c r="J215" i="49"/>
  <c r="H215" i="49"/>
  <c r="F215" i="49"/>
  <c r="L214" i="49"/>
  <c r="J214" i="49"/>
  <c r="H214" i="49"/>
  <c r="F214" i="49"/>
  <c r="L213" i="49"/>
  <c r="J213" i="49"/>
  <c r="H213" i="49"/>
  <c r="F213" i="49"/>
  <c r="L212" i="49"/>
  <c r="J212" i="49"/>
  <c r="H212" i="49"/>
  <c r="F212" i="49"/>
  <c r="L211" i="49"/>
  <c r="J211" i="49"/>
  <c r="H211" i="49"/>
  <c r="F211" i="49"/>
  <c r="L210" i="49"/>
  <c r="J210" i="49"/>
  <c r="H210" i="49"/>
  <c r="F210" i="49"/>
  <c r="L209" i="49"/>
  <c r="J209" i="49"/>
  <c r="H209" i="49"/>
  <c r="F209" i="49"/>
  <c r="L208" i="49"/>
  <c r="J208" i="49"/>
  <c r="H208" i="49"/>
  <c r="F208" i="49"/>
  <c r="L207" i="49"/>
  <c r="J207" i="49"/>
  <c r="H207" i="49"/>
  <c r="F207" i="49"/>
  <c r="B204" i="49"/>
  <c r="L197" i="49"/>
  <c r="J197" i="49"/>
  <c r="H197" i="49"/>
  <c r="F197" i="49"/>
  <c r="L196" i="49"/>
  <c r="J196" i="49"/>
  <c r="H196" i="49"/>
  <c r="F196" i="49"/>
  <c r="L195" i="49"/>
  <c r="J195" i="49"/>
  <c r="H195" i="49"/>
  <c r="F195" i="49"/>
  <c r="L194" i="49"/>
  <c r="J194" i="49"/>
  <c r="H194" i="49"/>
  <c r="F194" i="49"/>
  <c r="L193" i="49"/>
  <c r="J193" i="49"/>
  <c r="H193" i="49"/>
  <c r="F193" i="49"/>
  <c r="L192" i="49"/>
  <c r="J192" i="49"/>
  <c r="H192" i="49"/>
  <c r="F192" i="49"/>
  <c r="L191" i="49"/>
  <c r="J191" i="49"/>
  <c r="H191" i="49"/>
  <c r="F191" i="49"/>
  <c r="L190" i="49"/>
  <c r="J190" i="49"/>
  <c r="H190" i="49"/>
  <c r="F190" i="49"/>
  <c r="L189" i="49"/>
  <c r="J189" i="49"/>
  <c r="H189" i="49"/>
  <c r="F189" i="49"/>
  <c r="L188" i="49"/>
  <c r="J188" i="49"/>
  <c r="H188" i="49"/>
  <c r="F188" i="49"/>
  <c r="L187" i="49"/>
  <c r="J187" i="49"/>
  <c r="H187" i="49"/>
  <c r="F187" i="49"/>
  <c r="L186" i="49"/>
  <c r="J186" i="49"/>
  <c r="H186" i="49"/>
  <c r="F186" i="49"/>
  <c r="L185" i="49"/>
  <c r="J185" i="49"/>
  <c r="H185" i="49"/>
  <c r="F185" i="49"/>
  <c r="B182" i="49"/>
  <c r="L175" i="49"/>
  <c r="J175" i="49"/>
  <c r="H175" i="49"/>
  <c r="F175" i="49"/>
  <c r="L174" i="49"/>
  <c r="J174" i="49"/>
  <c r="H174" i="49"/>
  <c r="F174" i="49"/>
  <c r="L173" i="49"/>
  <c r="J173" i="49"/>
  <c r="H173" i="49"/>
  <c r="F173" i="49"/>
  <c r="L172" i="49"/>
  <c r="J172" i="49"/>
  <c r="H172" i="49"/>
  <c r="F172" i="49"/>
  <c r="L171" i="49"/>
  <c r="J171" i="49"/>
  <c r="H171" i="49"/>
  <c r="F171" i="49"/>
  <c r="L170" i="49"/>
  <c r="J170" i="49"/>
  <c r="H170" i="49"/>
  <c r="F170" i="49"/>
  <c r="L169" i="49"/>
  <c r="J169" i="49"/>
  <c r="H169" i="49"/>
  <c r="F169" i="49"/>
  <c r="L168" i="49"/>
  <c r="J168" i="49"/>
  <c r="H168" i="49"/>
  <c r="F168" i="49"/>
  <c r="L167" i="49"/>
  <c r="J167" i="49"/>
  <c r="H167" i="49"/>
  <c r="F167" i="49"/>
  <c r="L166" i="49"/>
  <c r="J166" i="49"/>
  <c r="H166" i="49"/>
  <c r="F166" i="49"/>
  <c r="L165" i="49"/>
  <c r="J165" i="49"/>
  <c r="H165" i="49"/>
  <c r="F165" i="49"/>
  <c r="L164" i="49"/>
  <c r="J164" i="49"/>
  <c r="H164" i="49"/>
  <c r="F164" i="49"/>
  <c r="L163" i="49"/>
  <c r="J163" i="49"/>
  <c r="H163" i="49"/>
  <c r="F163" i="49"/>
  <c r="B160" i="49"/>
  <c r="L153" i="49"/>
  <c r="J153" i="49"/>
  <c r="H153" i="49"/>
  <c r="F153" i="49"/>
  <c r="L152" i="49"/>
  <c r="J152" i="49"/>
  <c r="H152" i="49"/>
  <c r="F152" i="49"/>
  <c r="L151" i="49"/>
  <c r="J151" i="49"/>
  <c r="H151" i="49"/>
  <c r="F151" i="49"/>
  <c r="L150" i="49"/>
  <c r="J150" i="49"/>
  <c r="H150" i="49"/>
  <c r="F150" i="49"/>
  <c r="L149" i="49"/>
  <c r="J149" i="49"/>
  <c r="H149" i="49"/>
  <c r="F149" i="49"/>
  <c r="L148" i="49"/>
  <c r="J148" i="49"/>
  <c r="H148" i="49"/>
  <c r="F148" i="49"/>
  <c r="L147" i="49"/>
  <c r="J147" i="49"/>
  <c r="H147" i="49"/>
  <c r="F147" i="49"/>
  <c r="L146" i="49"/>
  <c r="J146" i="49"/>
  <c r="H146" i="49"/>
  <c r="F146" i="49"/>
  <c r="L145" i="49"/>
  <c r="J145" i="49"/>
  <c r="H145" i="49"/>
  <c r="F145" i="49"/>
  <c r="L144" i="49"/>
  <c r="J144" i="49"/>
  <c r="H144" i="49"/>
  <c r="F144" i="49"/>
  <c r="L143" i="49"/>
  <c r="J143" i="49"/>
  <c r="H143" i="49"/>
  <c r="F143" i="49"/>
  <c r="L142" i="49"/>
  <c r="J142" i="49"/>
  <c r="H142" i="49"/>
  <c r="F142" i="49"/>
  <c r="L141" i="49"/>
  <c r="J141" i="49"/>
  <c r="H141" i="49"/>
  <c r="F141" i="49"/>
  <c r="B138" i="49"/>
  <c r="L131" i="49"/>
  <c r="J131" i="49"/>
  <c r="H131" i="49"/>
  <c r="F131" i="49"/>
  <c r="L130" i="49"/>
  <c r="J130" i="49"/>
  <c r="H130" i="49"/>
  <c r="F130" i="49"/>
  <c r="L129" i="49"/>
  <c r="J129" i="49"/>
  <c r="H129" i="49"/>
  <c r="F129" i="49"/>
  <c r="L128" i="49"/>
  <c r="J128" i="49"/>
  <c r="H128" i="49"/>
  <c r="F128" i="49"/>
  <c r="L127" i="49"/>
  <c r="J127" i="49"/>
  <c r="H127" i="49"/>
  <c r="F127" i="49"/>
  <c r="L126" i="49"/>
  <c r="J126" i="49"/>
  <c r="H126" i="49"/>
  <c r="F126" i="49"/>
  <c r="L125" i="49"/>
  <c r="J125" i="49"/>
  <c r="H125" i="49"/>
  <c r="F125" i="49"/>
  <c r="L124" i="49"/>
  <c r="J124" i="49"/>
  <c r="H124" i="49"/>
  <c r="F124" i="49"/>
  <c r="L123" i="49"/>
  <c r="J123" i="49"/>
  <c r="H123" i="49"/>
  <c r="F123" i="49"/>
  <c r="L122" i="49"/>
  <c r="J122" i="49"/>
  <c r="H122" i="49"/>
  <c r="F122" i="49"/>
  <c r="L121" i="49"/>
  <c r="J121" i="49"/>
  <c r="H121" i="49"/>
  <c r="F121" i="49"/>
  <c r="L120" i="49"/>
  <c r="J120" i="49"/>
  <c r="H120" i="49"/>
  <c r="F120" i="49"/>
  <c r="L119" i="49"/>
  <c r="J119" i="49"/>
  <c r="H119" i="49"/>
  <c r="F119" i="49"/>
  <c r="B116" i="49"/>
  <c r="L109" i="49"/>
  <c r="J109" i="49"/>
  <c r="H109" i="49"/>
  <c r="F109" i="49"/>
  <c r="L108" i="49"/>
  <c r="J108" i="49"/>
  <c r="H108" i="49"/>
  <c r="F108" i="49"/>
  <c r="L107" i="49"/>
  <c r="J107" i="49"/>
  <c r="H107" i="49"/>
  <c r="F107" i="49"/>
  <c r="L106" i="49"/>
  <c r="J106" i="49"/>
  <c r="H106" i="49"/>
  <c r="F106" i="49"/>
  <c r="L105" i="49"/>
  <c r="J105" i="49"/>
  <c r="H105" i="49"/>
  <c r="F105" i="49"/>
  <c r="L104" i="49"/>
  <c r="J104" i="49"/>
  <c r="H104" i="49"/>
  <c r="F104" i="49"/>
  <c r="L103" i="49"/>
  <c r="J103" i="49"/>
  <c r="H103" i="49"/>
  <c r="F103" i="49"/>
  <c r="L102" i="49"/>
  <c r="J102" i="49"/>
  <c r="H102" i="49"/>
  <c r="F102" i="49"/>
  <c r="L101" i="49"/>
  <c r="J101" i="49"/>
  <c r="H101" i="49"/>
  <c r="F101" i="49"/>
  <c r="L100" i="49"/>
  <c r="J100" i="49"/>
  <c r="H100" i="49"/>
  <c r="F100" i="49"/>
  <c r="L99" i="49"/>
  <c r="J99" i="49"/>
  <c r="H99" i="49"/>
  <c r="F99" i="49"/>
  <c r="L98" i="49"/>
  <c r="J98" i="49"/>
  <c r="H98" i="49"/>
  <c r="F98" i="49"/>
  <c r="L97" i="49"/>
  <c r="J97" i="49"/>
  <c r="H97" i="49"/>
  <c r="F97" i="49"/>
  <c r="L87" i="49"/>
  <c r="J87" i="49"/>
  <c r="H87" i="49"/>
  <c r="F87" i="49"/>
  <c r="L86" i="49"/>
  <c r="J86" i="49"/>
  <c r="H86" i="49"/>
  <c r="F86" i="49"/>
  <c r="L85" i="49"/>
  <c r="J85" i="49"/>
  <c r="H85" i="49"/>
  <c r="F85" i="49"/>
  <c r="L84" i="49"/>
  <c r="J84" i="49"/>
  <c r="H84" i="49"/>
  <c r="F84" i="49"/>
  <c r="L83" i="49"/>
  <c r="J83" i="49"/>
  <c r="H83" i="49"/>
  <c r="F83" i="49"/>
  <c r="L82" i="49"/>
  <c r="J82" i="49"/>
  <c r="H82" i="49"/>
  <c r="F82" i="49"/>
  <c r="L81" i="49"/>
  <c r="J81" i="49"/>
  <c r="H81" i="49"/>
  <c r="F81" i="49"/>
  <c r="L80" i="49"/>
  <c r="J80" i="49"/>
  <c r="H80" i="49"/>
  <c r="F80" i="49"/>
  <c r="L79" i="49"/>
  <c r="J79" i="49"/>
  <c r="H79" i="49"/>
  <c r="F79" i="49"/>
  <c r="L78" i="49"/>
  <c r="J78" i="49"/>
  <c r="H78" i="49"/>
  <c r="F78" i="49"/>
  <c r="L77" i="49"/>
  <c r="J77" i="49"/>
  <c r="H77" i="49"/>
  <c r="F77" i="49"/>
  <c r="L76" i="49"/>
  <c r="J76" i="49"/>
  <c r="H76" i="49"/>
  <c r="F76" i="49"/>
  <c r="L75" i="49"/>
  <c r="J75" i="49"/>
  <c r="H75" i="49"/>
  <c r="F75" i="49"/>
  <c r="L65" i="49"/>
  <c r="J65" i="49"/>
  <c r="H65" i="49"/>
  <c r="F65" i="49"/>
  <c r="L64" i="49"/>
  <c r="J64" i="49"/>
  <c r="H64" i="49"/>
  <c r="F64" i="49"/>
  <c r="L63" i="49"/>
  <c r="J63" i="49"/>
  <c r="H63" i="49"/>
  <c r="F63" i="49"/>
  <c r="L62" i="49"/>
  <c r="J62" i="49"/>
  <c r="H62" i="49"/>
  <c r="F62" i="49"/>
  <c r="L61" i="49"/>
  <c r="J61" i="49"/>
  <c r="H61" i="49"/>
  <c r="F61" i="49"/>
  <c r="L60" i="49"/>
  <c r="J60" i="49"/>
  <c r="H60" i="49"/>
  <c r="F60" i="49"/>
  <c r="L59" i="49"/>
  <c r="J59" i="49"/>
  <c r="H59" i="49"/>
  <c r="F59" i="49"/>
  <c r="L58" i="49"/>
  <c r="J58" i="49"/>
  <c r="H58" i="49"/>
  <c r="F58" i="49"/>
  <c r="L57" i="49"/>
  <c r="J57" i="49"/>
  <c r="H57" i="49"/>
  <c r="F57" i="49"/>
  <c r="L56" i="49"/>
  <c r="J56" i="49"/>
  <c r="H56" i="49"/>
  <c r="F56" i="49"/>
  <c r="L55" i="49"/>
  <c r="J55" i="49"/>
  <c r="H55" i="49"/>
  <c r="F55" i="49"/>
  <c r="L54" i="49"/>
  <c r="J54" i="49"/>
  <c r="H54" i="49"/>
  <c r="F54" i="49"/>
  <c r="L53" i="49"/>
  <c r="J53" i="49"/>
  <c r="H53" i="49"/>
  <c r="F53" i="49"/>
  <c r="L43" i="49"/>
  <c r="J43" i="49"/>
  <c r="H43" i="49"/>
  <c r="F43" i="49"/>
  <c r="L42" i="49"/>
  <c r="J42" i="49"/>
  <c r="H42" i="49"/>
  <c r="F42" i="49"/>
  <c r="L41" i="49"/>
  <c r="J41" i="49"/>
  <c r="H41" i="49"/>
  <c r="F41" i="49"/>
  <c r="L40" i="49"/>
  <c r="J40" i="49"/>
  <c r="H40" i="49"/>
  <c r="F40" i="49"/>
  <c r="L39" i="49"/>
  <c r="J39" i="49"/>
  <c r="H39" i="49"/>
  <c r="F39" i="49"/>
  <c r="L38" i="49"/>
  <c r="J38" i="49"/>
  <c r="H38" i="49"/>
  <c r="F38" i="49"/>
  <c r="L37" i="49"/>
  <c r="J37" i="49"/>
  <c r="H37" i="49"/>
  <c r="F37" i="49"/>
  <c r="L36" i="49"/>
  <c r="J36" i="49"/>
  <c r="H36" i="49"/>
  <c r="F36" i="49"/>
  <c r="L35" i="49"/>
  <c r="J35" i="49"/>
  <c r="H35" i="49"/>
  <c r="F35" i="49"/>
  <c r="L34" i="49"/>
  <c r="J34" i="49"/>
  <c r="H34" i="49"/>
  <c r="F34" i="49"/>
  <c r="L33" i="49"/>
  <c r="J33" i="49"/>
  <c r="H33" i="49"/>
  <c r="F33" i="49"/>
  <c r="L32" i="49"/>
  <c r="J32" i="49"/>
  <c r="H32" i="49"/>
  <c r="F32" i="49"/>
  <c r="L31" i="49"/>
  <c r="J31" i="49"/>
  <c r="H31" i="49"/>
  <c r="F31" i="49"/>
  <c r="L21" i="49"/>
  <c r="J21" i="49"/>
  <c r="H21" i="49"/>
  <c r="F21" i="49"/>
  <c r="L20" i="49"/>
  <c r="J20" i="49"/>
  <c r="H20" i="49"/>
  <c r="F20" i="49"/>
  <c r="L19" i="49"/>
  <c r="J19" i="49"/>
  <c r="H19" i="49"/>
  <c r="F19" i="49"/>
  <c r="L18" i="49"/>
  <c r="J18" i="49"/>
  <c r="H18" i="49"/>
  <c r="F18" i="49"/>
  <c r="L17" i="49"/>
  <c r="J17" i="49"/>
  <c r="H17" i="49"/>
  <c r="F17" i="49"/>
  <c r="L16" i="49"/>
  <c r="J16" i="49"/>
  <c r="H16" i="49"/>
  <c r="F16" i="49"/>
  <c r="L15" i="49"/>
  <c r="J15" i="49"/>
  <c r="H15" i="49"/>
  <c r="F15" i="49"/>
  <c r="L14" i="49"/>
  <c r="J14" i="49"/>
  <c r="H14" i="49"/>
  <c r="F14" i="49"/>
  <c r="L13" i="49"/>
  <c r="J13" i="49"/>
  <c r="H13" i="49"/>
  <c r="F13" i="49"/>
  <c r="L12" i="49"/>
  <c r="J12" i="49"/>
  <c r="H12" i="49"/>
  <c r="F12" i="49"/>
  <c r="L11" i="49"/>
  <c r="J11" i="49"/>
  <c r="H11" i="49"/>
  <c r="F11" i="49"/>
  <c r="L10" i="49"/>
  <c r="J10" i="49"/>
  <c r="H10" i="49"/>
  <c r="F10" i="49"/>
  <c r="L9" i="49"/>
  <c r="J9" i="49"/>
  <c r="H9" i="49"/>
  <c r="F9" i="49"/>
  <c r="K7" i="49"/>
  <c r="K271" i="49" s="1"/>
  <c r="L272" i="49" s="1"/>
  <c r="O135" i="45"/>
  <c r="N135" i="45"/>
  <c r="M135" i="45"/>
  <c r="L135" i="45"/>
  <c r="K135" i="45"/>
  <c r="H135" i="45"/>
  <c r="G135" i="45"/>
  <c r="S5" i="45"/>
  <c r="P5" i="45"/>
  <c r="N5" i="45"/>
  <c r="J5" i="45"/>
  <c r="F5" i="45"/>
  <c r="M135" i="44"/>
  <c r="L135" i="44"/>
  <c r="K135" i="44"/>
  <c r="I135" i="44"/>
  <c r="J5" i="44"/>
  <c r="F5" i="44"/>
  <c r="K135" i="43"/>
  <c r="G135" i="43"/>
  <c r="S5" i="43"/>
  <c r="K133" i="42"/>
  <c r="O133" i="42"/>
  <c r="N5" i="42"/>
  <c r="M5" i="42"/>
  <c r="L5" i="42"/>
  <c r="J5" i="42"/>
  <c r="I5" i="42"/>
  <c r="F5" i="42"/>
  <c r="K133" i="41"/>
  <c r="I133" i="41"/>
  <c r="H5" i="41"/>
  <c r="F5" i="41"/>
  <c r="N133" i="40"/>
  <c r="K133" i="40"/>
  <c r="O133" i="40"/>
  <c r="G133" i="40"/>
  <c r="T5" i="40"/>
  <c r="R5" i="40"/>
  <c r="N5" i="40"/>
  <c r="M5" i="40"/>
  <c r="L5" i="40"/>
  <c r="J5" i="40"/>
  <c r="I5" i="40"/>
  <c r="H5" i="40"/>
  <c r="F5" i="40"/>
  <c r="N123" i="39"/>
  <c r="I123" i="39"/>
  <c r="H123" i="39"/>
  <c r="G123" i="39"/>
  <c r="M5" i="39"/>
  <c r="B3" i="37"/>
  <c r="B3" i="36"/>
  <c r="I29" i="35"/>
  <c r="H29" i="35"/>
  <c r="AL7" i="35"/>
  <c r="N7" i="35"/>
  <c r="M73" i="33"/>
  <c r="M51" i="33"/>
  <c r="M29" i="33"/>
  <c r="N8" i="33"/>
  <c r="L74" i="31"/>
  <c r="J74" i="31"/>
  <c r="H74" i="31"/>
  <c r="F74" i="31"/>
  <c r="D74" i="31"/>
  <c r="M73" i="31"/>
  <c r="N74" i="31" s="1"/>
  <c r="H52" i="31"/>
  <c r="F52" i="31"/>
  <c r="D52" i="31"/>
  <c r="M51" i="31"/>
  <c r="N52" i="31" s="1"/>
  <c r="J52" i="31"/>
  <c r="M29" i="31"/>
  <c r="L8" i="31"/>
  <c r="D8" i="31"/>
  <c r="N272" i="30"/>
  <c r="L272" i="30"/>
  <c r="J272" i="30"/>
  <c r="F272" i="30"/>
  <c r="D272" i="30"/>
  <c r="B270" i="30"/>
  <c r="H250" i="30"/>
  <c r="F250" i="30"/>
  <c r="N250" i="30"/>
  <c r="J250" i="30"/>
  <c r="D250" i="30"/>
  <c r="B248" i="30"/>
  <c r="J228" i="30"/>
  <c r="H228" i="30"/>
  <c r="D228" i="30"/>
  <c r="N228" i="30"/>
  <c r="B226" i="30"/>
  <c r="J206" i="30"/>
  <c r="F206" i="30"/>
  <c r="D206" i="30"/>
  <c r="B204" i="30"/>
  <c r="L184" i="30"/>
  <c r="F184" i="30"/>
  <c r="D184" i="30"/>
  <c r="B182" i="30"/>
  <c r="N162" i="30"/>
  <c r="L162" i="30"/>
  <c r="J162" i="30"/>
  <c r="H162" i="30"/>
  <c r="F162" i="30"/>
  <c r="B160" i="30"/>
  <c r="L140" i="30"/>
  <c r="N140" i="30"/>
  <c r="J140" i="30"/>
  <c r="F140" i="30"/>
  <c r="D140" i="30"/>
  <c r="B138" i="30"/>
  <c r="D118" i="30"/>
  <c r="N118" i="30"/>
  <c r="L118" i="30"/>
  <c r="J118" i="30"/>
  <c r="F118" i="30"/>
  <c r="B116" i="30"/>
  <c r="N96" i="30"/>
  <c r="L96" i="30"/>
  <c r="J96" i="30"/>
  <c r="H96" i="30"/>
  <c r="F96" i="30"/>
  <c r="D96" i="30"/>
  <c r="N74" i="30"/>
  <c r="L74" i="30"/>
  <c r="J74" i="30"/>
  <c r="H74" i="30"/>
  <c r="F74" i="30"/>
  <c r="D74" i="30"/>
  <c r="N52" i="30"/>
  <c r="L52" i="30"/>
  <c r="J52" i="30"/>
  <c r="H52" i="30"/>
  <c r="F52" i="30"/>
  <c r="J30" i="30"/>
  <c r="H30" i="30"/>
  <c r="F30" i="30"/>
  <c r="D30" i="30"/>
  <c r="L8" i="30"/>
  <c r="H8" i="30"/>
  <c r="F8" i="30"/>
  <c r="D8" i="30"/>
  <c r="N8" i="30"/>
  <c r="J8" i="30"/>
  <c r="B4" i="28"/>
  <c r="B3" i="27"/>
  <c r="B4" i="26"/>
  <c r="L7" i="22"/>
  <c r="J7" i="22"/>
  <c r="B4" i="22"/>
  <c r="B5" i="21"/>
  <c r="V7" i="19"/>
  <c r="U7" i="19"/>
  <c r="F7" i="19"/>
  <c r="B4" i="19"/>
  <c r="J6" i="18"/>
  <c r="B3" i="18"/>
  <c r="K7" i="17"/>
  <c r="B4" i="17"/>
  <c r="W7" i="16"/>
  <c r="V7" i="16"/>
  <c r="J7" i="16"/>
  <c r="I7" i="16"/>
  <c r="B4" i="16"/>
  <c r="Y7" i="15"/>
  <c r="B4" i="15"/>
  <c r="J9" i="14"/>
  <c r="I9" i="14"/>
  <c r="B6" i="14"/>
  <c r="I6" i="13"/>
  <c r="B3" i="13"/>
  <c r="V5" i="12"/>
  <c r="U5" i="12"/>
  <c r="T5" i="12"/>
  <c r="B3" i="6"/>
  <c r="M6" i="5"/>
  <c r="L6" i="5"/>
  <c r="K6" i="5"/>
  <c r="J6" i="5"/>
  <c r="B3" i="5"/>
  <c r="L152" i="3"/>
  <c r="B39" i="1"/>
  <c r="B38" i="1"/>
  <c r="B37" i="1"/>
  <c r="M2" i="1"/>
  <c r="D34" i="27"/>
  <c r="G20" i="27"/>
  <c r="F20" i="26"/>
  <c r="F76" i="26"/>
  <c r="D20" i="26"/>
  <c r="D91" i="22"/>
  <c r="G49" i="22"/>
  <c r="G63" i="22"/>
  <c r="E63" i="22"/>
  <c r="D147" i="22"/>
  <c r="D162" i="21"/>
  <c r="F78" i="21"/>
  <c r="F22" i="21"/>
  <c r="E78" i="21"/>
  <c r="E22" i="21"/>
  <c r="H119" i="22"/>
  <c r="D78" i="21"/>
  <c r="E50" i="21"/>
  <c r="D22" i="21"/>
  <c r="D119" i="22"/>
  <c r="C50" i="21"/>
  <c r="F91" i="22"/>
  <c r="E77" i="22"/>
  <c r="C22" i="21"/>
  <c r="Q21" i="22"/>
  <c r="F36" i="21"/>
  <c r="T8" i="18"/>
  <c r="D8" i="18"/>
  <c r="S34" i="18"/>
  <c r="C34" i="18"/>
  <c r="V64" i="18"/>
  <c r="F64" i="18"/>
  <c r="U64" i="18"/>
  <c r="E64" i="18"/>
  <c r="V48" i="18"/>
  <c r="F48" i="18"/>
  <c r="T64" i="18"/>
  <c r="D64" i="18"/>
  <c r="U48" i="18"/>
  <c r="E48" i="18"/>
  <c r="S64" i="18"/>
  <c r="C64" i="18"/>
  <c r="T48" i="18"/>
  <c r="D48" i="18"/>
  <c r="S48" i="18"/>
  <c r="C48" i="18"/>
  <c r="V62" i="18"/>
  <c r="F62" i="18"/>
  <c r="V36" i="18"/>
  <c r="T146" i="18"/>
  <c r="C62" i="18"/>
  <c r="C22" i="18"/>
  <c r="U20" i="18"/>
  <c r="D134" i="18"/>
  <c r="U36" i="18"/>
  <c r="T20" i="18"/>
  <c r="T160" i="18"/>
  <c r="C92" i="18"/>
  <c r="T36" i="18"/>
  <c r="S118" i="18"/>
  <c r="U92" i="18"/>
  <c r="S36" i="18"/>
  <c r="V22" i="18"/>
  <c r="M20" i="18"/>
  <c r="U22" i="18"/>
  <c r="F36" i="18"/>
  <c r="T22" i="18"/>
  <c r="L8" i="18"/>
  <c r="D120" i="18"/>
  <c r="E36" i="18"/>
  <c r="S22" i="18"/>
  <c r="D36" i="18"/>
  <c r="V134" i="18"/>
  <c r="C36" i="18"/>
  <c r="T134" i="18"/>
  <c r="C8" i="18"/>
  <c r="F20" i="18"/>
  <c r="C161" i="17"/>
  <c r="F105" i="17"/>
  <c r="U62" i="18"/>
  <c r="N22" i="18"/>
  <c r="E20" i="18"/>
  <c r="D63" i="17"/>
  <c r="D37" i="17"/>
  <c r="T62" i="18"/>
  <c r="D20" i="18"/>
  <c r="F91" i="17"/>
  <c r="C63" i="17"/>
  <c r="C37" i="17"/>
  <c r="D22" i="18"/>
  <c r="D21" i="17"/>
  <c r="C105" i="17"/>
  <c r="D91" i="17"/>
  <c r="C21" i="17"/>
  <c r="C35" i="16"/>
  <c r="C91" i="17"/>
  <c r="G77" i="17"/>
  <c r="U104" i="18"/>
  <c r="S8" i="18"/>
  <c r="D133" i="17"/>
  <c r="F79" i="17"/>
  <c r="S62" i="18"/>
  <c r="C133" i="17"/>
  <c r="F37" i="17"/>
  <c r="E62" i="18"/>
  <c r="G107" i="17"/>
  <c r="D79" i="17"/>
  <c r="E37" i="17"/>
  <c r="C135" i="16"/>
  <c r="D62" i="18"/>
  <c r="F107" i="17"/>
  <c r="M90" i="18"/>
  <c r="C135" i="17"/>
  <c r="D121" i="17"/>
  <c r="G65" i="17"/>
  <c r="C21" i="16"/>
  <c r="F149" i="17"/>
  <c r="C121" i="17"/>
  <c r="F65" i="17"/>
  <c r="G23" i="16"/>
  <c r="G9" i="16"/>
  <c r="D149" i="17"/>
  <c r="G49" i="17"/>
  <c r="G23" i="17"/>
  <c r="E23" i="16"/>
  <c r="V20" i="18"/>
  <c r="F49" i="17"/>
  <c r="F23" i="17"/>
  <c r="G9" i="17"/>
  <c r="G119" i="16"/>
  <c r="E79" i="16"/>
  <c r="E51" i="16"/>
  <c r="E49" i="17"/>
  <c r="E23" i="17"/>
  <c r="F9" i="17"/>
  <c r="C119" i="16"/>
  <c r="C105" i="16"/>
  <c r="G91" i="16"/>
  <c r="C63" i="16"/>
  <c r="D35" i="17"/>
  <c r="C9" i="16"/>
  <c r="F22" i="18"/>
  <c r="F63" i="17"/>
  <c r="F21" i="17"/>
  <c r="R9" i="16"/>
  <c r="G149" i="14"/>
  <c r="R21" i="16"/>
  <c r="F149" i="14"/>
  <c r="Q21" i="16"/>
  <c r="E9" i="16"/>
  <c r="E149" i="14"/>
  <c r="E35" i="16"/>
  <c r="O146" i="18"/>
  <c r="E21" i="16"/>
  <c r="E21" i="17"/>
  <c r="G49" i="16"/>
  <c r="G163" i="14"/>
  <c r="G135" i="14"/>
  <c r="E63" i="17"/>
  <c r="G35" i="15"/>
  <c r="G21" i="15"/>
  <c r="F163" i="14"/>
  <c r="C23" i="16"/>
  <c r="E163" i="14"/>
  <c r="E135" i="14"/>
  <c r="E22" i="18"/>
  <c r="E21" i="15"/>
  <c r="D163" i="14"/>
  <c r="D21" i="15"/>
  <c r="E121" i="14"/>
  <c r="C21" i="15"/>
  <c r="D121" i="14"/>
  <c r="E37" i="16"/>
  <c r="D149" i="14"/>
  <c r="G37" i="14"/>
  <c r="G51" i="14"/>
  <c r="F37" i="14"/>
  <c r="G91" i="15"/>
  <c r="F51" i="14"/>
  <c r="E37" i="14"/>
  <c r="G77" i="15"/>
  <c r="E51" i="14"/>
  <c r="D37" i="14"/>
  <c r="G23" i="14"/>
  <c r="D23" i="16"/>
  <c r="F77" i="15"/>
  <c r="G65" i="14"/>
  <c r="D51" i="14"/>
  <c r="F23" i="14"/>
  <c r="F63" i="15"/>
  <c r="G79" i="14"/>
  <c r="F65" i="14"/>
  <c r="E23" i="14"/>
  <c r="E63" i="15"/>
  <c r="F79" i="14"/>
  <c r="E65" i="14"/>
  <c r="D23" i="14"/>
  <c r="E49" i="15"/>
  <c r="F135" i="14"/>
  <c r="E79" i="14"/>
  <c r="D65" i="14"/>
  <c r="D49" i="15"/>
  <c r="D135" i="14"/>
  <c r="G93" i="14"/>
  <c r="D79" i="14"/>
  <c r="D35" i="15"/>
  <c r="G107" i="14"/>
  <c r="F93" i="14"/>
  <c r="C35" i="15"/>
  <c r="F107" i="14"/>
  <c r="E93" i="14"/>
  <c r="E107" i="14"/>
  <c r="D93" i="14"/>
  <c r="G121" i="14"/>
  <c r="D107" i="14"/>
  <c r="C133" i="15"/>
  <c r="F121" i="14"/>
  <c r="D66" i="11"/>
  <c r="D58" i="11"/>
  <c r="D42" i="11"/>
  <c r="D34" i="11"/>
  <c r="D18" i="11"/>
  <c r="D10" i="11"/>
  <c r="I21" i="9"/>
  <c r="G19" i="9"/>
  <c r="E17" i="9"/>
  <c r="Q13" i="9"/>
  <c r="O11" i="9"/>
  <c r="M9" i="9"/>
  <c r="D90" i="11"/>
  <c r="D82" i="11"/>
  <c r="G20" i="9"/>
  <c r="E18" i="9"/>
  <c r="Q14" i="9"/>
  <c r="O12" i="9"/>
  <c r="M10" i="9"/>
  <c r="D65" i="11"/>
  <c r="D57" i="11"/>
  <c r="D41" i="11"/>
  <c r="D33" i="11"/>
  <c r="D17" i="11"/>
  <c r="D9" i="11"/>
  <c r="G21" i="9"/>
  <c r="E19" i="9"/>
  <c r="Q15" i="9"/>
  <c r="O13" i="9"/>
  <c r="M11" i="9"/>
  <c r="K9" i="9"/>
  <c r="U54" i="12"/>
  <c r="D89" i="11"/>
  <c r="D81" i="11"/>
  <c r="E20" i="9"/>
  <c r="Q16" i="9"/>
  <c r="O14" i="9"/>
  <c r="M12" i="9"/>
  <c r="K10" i="9"/>
  <c r="C55" i="12"/>
  <c r="D64" i="11"/>
  <c r="D56" i="11"/>
  <c r="D40" i="11"/>
  <c r="D32" i="11"/>
  <c r="D16" i="11"/>
  <c r="D8" i="11"/>
  <c r="E21" i="9"/>
  <c r="Q17" i="9"/>
  <c r="O15" i="9"/>
  <c r="M13" i="9"/>
  <c r="K11" i="9"/>
  <c r="I9" i="9"/>
  <c r="D88" i="11"/>
  <c r="D80" i="11"/>
  <c r="Q18" i="9"/>
  <c r="O16" i="9"/>
  <c r="M14" i="9"/>
  <c r="K12" i="9"/>
  <c r="G20" i="13"/>
  <c r="D63" i="11"/>
  <c r="D55" i="11"/>
  <c r="D39" i="11"/>
  <c r="D31" i="11"/>
  <c r="D15" i="11"/>
  <c r="Q19" i="9"/>
  <c r="O17" i="9"/>
  <c r="M15" i="9"/>
  <c r="K13" i="9"/>
  <c r="I11" i="9"/>
  <c r="G9" i="9"/>
  <c r="U8" i="12"/>
  <c r="D87" i="11"/>
  <c r="D79" i="11"/>
  <c r="Q20" i="9"/>
  <c r="O18" i="9"/>
  <c r="M16" i="9"/>
  <c r="K14" i="9"/>
  <c r="C54" i="12"/>
  <c r="D62" i="11"/>
  <c r="D54" i="11"/>
  <c r="D38" i="11"/>
  <c r="D14" i="11"/>
  <c r="O19" i="9"/>
  <c r="M17" i="9"/>
  <c r="K15" i="9"/>
  <c r="I13" i="9"/>
  <c r="G11" i="9"/>
  <c r="O23" i="14"/>
  <c r="D20" i="13"/>
  <c r="D86" i="11"/>
  <c r="D78" i="11"/>
  <c r="U11" i="12"/>
  <c r="D61" i="11"/>
  <c r="D37" i="11"/>
  <c r="D21" i="11"/>
  <c r="D13" i="11"/>
  <c r="O21" i="9"/>
  <c r="M19" i="9"/>
  <c r="K17" i="9"/>
  <c r="U14" i="12"/>
  <c r="U7" i="12"/>
  <c r="D85" i="11"/>
  <c r="D77" i="11"/>
  <c r="C53" i="12"/>
  <c r="C57" i="12" s="1"/>
  <c r="E76" i="13"/>
  <c r="G62" i="13"/>
  <c r="G48" i="13"/>
  <c r="G34" i="13"/>
  <c r="D76" i="13"/>
  <c r="F62" i="13"/>
  <c r="F48" i="13"/>
  <c r="D34" i="13"/>
  <c r="N23" i="14"/>
  <c r="U10" i="12"/>
  <c r="U6" i="12"/>
  <c r="D83" i="11"/>
  <c r="U17" i="12"/>
  <c r="D35" i="11"/>
  <c r="G17" i="9"/>
  <c r="I14" i="9"/>
  <c r="G12" i="9"/>
  <c r="G10" i="9"/>
  <c r="U33" i="12"/>
  <c r="U57" i="12"/>
  <c r="D84" i="11"/>
  <c r="D20" i="11"/>
  <c r="K19" i="9"/>
  <c r="K16" i="9"/>
  <c r="G14" i="9"/>
  <c r="E12" i="9"/>
  <c r="E10" i="9"/>
  <c r="U45" i="12"/>
  <c r="D19" i="11"/>
  <c r="I19" i="9"/>
  <c r="I16" i="9"/>
  <c r="E14" i="9"/>
  <c r="D12" i="11"/>
  <c r="Q11" i="9"/>
  <c r="Q9" i="9"/>
  <c r="U21" i="12"/>
  <c r="D67" i="11"/>
  <c r="M21" i="9"/>
  <c r="M18" i="9"/>
  <c r="G16" i="9"/>
  <c r="U29" i="12"/>
  <c r="G55" i="12"/>
  <c r="D60" i="11"/>
  <c r="D11" i="11"/>
  <c r="K18" i="9"/>
  <c r="O9" i="9"/>
  <c r="U41" i="12"/>
  <c r="K21" i="9"/>
  <c r="E16" i="9"/>
  <c r="D59" i="11"/>
  <c r="I18" i="9"/>
  <c r="G13" i="9"/>
  <c r="E11" i="9"/>
  <c r="O20" i="9"/>
  <c r="I15" i="9"/>
  <c r="C56" i="12"/>
  <c r="D44" i="11"/>
  <c r="M20" i="9"/>
  <c r="G18" i="9"/>
  <c r="E13" i="9"/>
  <c r="E9" i="9"/>
  <c r="U25" i="12"/>
  <c r="G15" i="9"/>
  <c r="Q10" i="9"/>
  <c r="U37" i="12"/>
  <c r="D43" i="11"/>
  <c r="K20" i="9"/>
  <c r="U49" i="12"/>
  <c r="A12" i="12"/>
  <c r="D36" i="11"/>
  <c r="I17" i="9"/>
  <c r="E15" i="9"/>
  <c r="Q12" i="9"/>
  <c r="O10" i="9"/>
  <c r="I20" i="9"/>
  <c r="I12" i="9"/>
  <c r="I10" i="9"/>
  <c r="G17" i="2"/>
  <c r="F18" i="2"/>
  <c r="E18" i="2"/>
  <c r="G18" i="2"/>
  <c r="I7" i="52" l="1"/>
  <c r="G7" i="52" s="1"/>
  <c r="G29" i="52" s="1"/>
  <c r="K227" i="51"/>
  <c r="K29" i="51"/>
  <c r="K73" i="51"/>
  <c r="N8" i="51"/>
  <c r="K253" i="51"/>
  <c r="K51" i="51"/>
  <c r="E7" i="52"/>
  <c r="G73" i="52"/>
  <c r="K51" i="52"/>
  <c r="N52" i="52" s="1"/>
  <c r="K117" i="51"/>
  <c r="K139" i="51"/>
  <c r="I29" i="52"/>
  <c r="I7" i="51"/>
  <c r="K161" i="51"/>
  <c r="K29" i="52"/>
  <c r="N30" i="52" s="1"/>
  <c r="I51" i="52"/>
  <c r="K183" i="51"/>
  <c r="L8" i="52"/>
  <c r="I73" i="52"/>
  <c r="J74" i="52" s="1"/>
  <c r="G7" i="50"/>
  <c r="J8" i="50"/>
  <c r="L8" i="50"/>
  <c r="E7" i="50"/>
  <c r="F8" i="50" s="1"/>
  <c r="H8" i="50"/>
  <c r="C7" i="50"/>
  <c r="K227" i="49"/>
  <c r="L228" i="49" s="1"/>
  <c r="K139" i="49"/>
  <c r="L140" i="49" s="1"/>
  <c r="K29" i="49"/>
  <c r="L30" i="49" s="1"/>
  <c r="I7" i="49"/>
  <c r="I249" i="49"/>
  <c r="J250" i="49" s="1"/>
  <c r="L8" i="49"/>
  <c r="I73" i="49"/>
  <c r="J74" i="49" s="1"/>
  <c r="K161" i="49"/>
  <c r="L162" i="49" s="1"/>
  <c r="K249" i="49"/>
  <c r="L250" i="49" s="1"/>
  <c r="I161" i="49"/>
  <c r="J162" i="49" s="1"/>
  <c r="K73" i="49"/>
  <c r="L74" i="49" s="1"/>
  <c r="I139" i="49"/>
  <c r="J140" i="49" s="1"/>
  <c r="I227" i="49"/>
  <c r="J228" i="49" s="1"/>
  <c r="I51" i="49"/>
  <c r="J52" i="49" s="1"/>
  <c r="I117" i="49"/>
  <c r="J118" i="49" s="1"/>
  <c r="K51" i="49"/>
  <c r="L52" i="49" s="1"/>
  <c r="K117" i="49"/>
  <c r="L118" i="49" s="1"/>
  <c r="K205" i="49"/>
  <c r="L206" i="49" s="1"/>
  <c r="I95" i="49"/>
  <c r="J96" i="49" s="1"/>
  <c r="I183" i="49"/>
  <c r="J184" i="49" s="1"/>
  <c r="I271" i="49"/>
  <c r="J272" i="49" s="1"/>
  <c r="K95" i="49"/>
  <c r="L96" i="49" s="1"/>
  <c r="K183" i="49"/>
  <c r="L184" i="49" s="1"/>
  <c r="L139" i="3"/>
  <c r="K139" i="3"/>
  <c r="J139" i="3"/>
  <c r="K20" i="2"/>
  <c r="J20" i="2"/>
  <c r="K52" i="3"/>
  <c r="J52" i="3"/>
  <c r="E42" i="2"/>
  <c r="J75" i="2"/>
  <c r="L75" i="2"/>
  <c r="K75" i="2"/>
  <c r="H43" i="2"/>
  <c r="K40" i="2"/>
  <c r="I43" i="2"/>
  <c r="J40" i="2"/>
  <c r="L40" i="2"/>
  <c r="J51" i="2"/>
  <c r="L51" i="2"/>
  <c r="K51" i="2"/>
  <c r="L155" i="3"/>
  <c r="K155" i="3"/>
  <c r="J155" i="3"/>
  <c r="L163" i="3"/>
  <c r="K163" i="3"/>
  <c r="J163" i="3"/>
  <c r="L171" i="3"/>
  <c r="K171" i="3"/>
  <c r="J171" i="3"/>
  <c r="I190" i="3"/>
  <c r="L179" i="3"/>
  <c r="K179" i="3"/>
  <c r="J179" i="3"/>
  <c r="M38" i="5"/>
  <c r="L38" i="5"/>
  <c r="K38" i="5"/>
  <c r="I38" i="5"/>
  <c r="J38" i="5"/>
  <c r="L88" i="3"/>
  <c r="K88" i="3"/>
  <c r="J88" i="3"/>
  <c r="I113" i="3"/>
  <c r="L102" i="3"/>
  <c r="K102" i="3"/>
  <c r="J102" i="3"/>
  <c r="G118" i="3"/>
  <c r="K12" i="6"/>
  <c r="J12" i="6"/>
  <c r="I12" i="6"/>
  <c r="J63" i="2"/>
  <c r="L63" i="2"/>
  <c r="K63" i="2"/>
  <c r="L16" i="3"/>
  <c r="K16" i="3"/>
  <c r="J16" i="3"/>
  <c r="L34" i="3"/>
  <c r="K34" i="3"/>
  <c r="J34" i="3"/>
  <c r="L66" i="3"/>
  <c r="K66" i="3"/>
  <c r="J66" i="3"/>
  <c r="L81" i="3"/>
  <c r="J81" i="3"/>
  <c r="K81" i="3"/>
  <c r="L92" i="3"/>
  <c r="K92" i="3"/>
  <c r="J92" i="3"/>
  <c r="I118" i="3"/>
  <c r="L107" i="3"/>
  <c r="K107" i="3"/>
  <c r="J107" i="3"/>
  <c r="G192" i="3"/>
  <c r="M26" i="5"/>
  <c r="L26" i="5"/>
  <c r="K26" i="5"/>
  <c r="J26" i="5"/>
  <c r="I26" i="5"/>
  <c r="L59" i="2"/>
  <c r="K59" i="2"/>
  <c r="J59" i="2"/>
  <c r="J23" i="3"/>
  <c r="L23" i="3"/>
  <c r="K23" i="3"/>
  <c r="I119" i="3"/>
  <c r="L108" i="3"/>
  <c r="K108" i="3"/>
  <c r="J108" i="3"/>
  <c r="L137" i="3"/>
  <c r="K137" i="3"/>
  <c r="J137" i="3"/>
  <c r="L145" i="3"/>
  <c r="K145" i="3"/>
  <c r="J145" i="3"/>
  <c r="H192" i="3"/>
  <c r="W11" i="5"/>
  <c r="V11" i="5"/>
  <c r="U11" i="5"/>
  <c r="T11" i="5"/>
  <c r="S11" i="5"/>
  <c r="M32" i="5"/>
  <c r="L32" i="5"/>
  <c r="K32" i="5"/>
  <c r="J32" i="5"/>
  <c r="I32" i="5"/>
  <c r="L14" i="3"/>
  <c r="K14" i="3"/>
  <c r="J14" i="3"/>
  <c r="L82" i="3"/>
  <c r="K82" i="3"/>
  <c r="J82" i="3"/>
  <c r="L97" i="3"/>
  <c r="K97" i="3"/>
  <c r="J97" i="3"/>
  <c r="L157" i="3"/>
  <c r="K157" i="3"/>
  <c r="J157" i="3"/>
  <c r="L165" i="3"/>
  <c r="K165" i="3"/>
  <c r="J165" i="3"/>
  <c r="L173" i="3"/>
  <c r="K173" i="3"/>
  <c r="J173" i="3"/>
  <c r="L181" i="3"/>
  <c r="I192" i="3"/>
  <c r="K181" i="3"/>
  <c r="J181" i="3"/>
  <c r="W8" i="5"/>
  <c r="V8" i="5"/>
  <c r="U8" i="5"/>
  <c r="T8" i="5"/>
  <c r="S8" i="5"/>
  <c r="H68" i="2"/>
  <c r="L61" i="2"/>
  <c r="K61" i="2"/>
  <c r="J61" i="2"/>
  <c r="E196" i="3"/>
  <c r="F196" i="3"/>
  <c r="G186" i="3"/>
  <c r="G194" i="3"/>
  <c r="K31" i="6"/>
  <c r="J31" i="6"/>
  <c r="I31" i="6"/>
  <c r="K49" i="2"/>
  <c r="L49" i="2"/>
  <c r="J49" i="2"/>
  <c r="K67" i="2"/>
  <c r="J67" i="2"/>
  <c r="H186" i="3"/>
  <c r="H194" i="3"/>
  <c r="W27" i="5"/>
  <c r="V27" i="5"/>
  <c r="U27" i="5"/>
  <c r="T27" i="5"/>
  <c r="S27" i="5"/>
  <c r="W46" i="5"/>
  <c r="V46" i="5"/>
  <c r="U46" i="5"/>
  <c r="T46" i="5"/>
  <c r="S46" i="5"/>
  <c r="L159" i="3"/>
  <c r="K159" i="3"/>
  <c r="J159" i="3"/>
  <c r="L167" i="3"/>
  <c r="K167" i="3"/>
  <c r="J167" i="3"/>
  <c r="I186" i="3"/>
  <c r="L175" i="3"/>
  <c r="K175" i="3"/>
  <c r="J175" i="3"/>
  <c r="L183" i="3"/>
  <c r="K183" i="3"/>
  <c r="I194" i="3"/>
  <c r="J183" i="3"/>
  <c r="W52" i="5"/>
  <c r="V52" i="5"/>
  <c r="U52" i="5"/>
  <c r="S52" i="5"/>
  <c r="T52" i="5"/>
  <c r="M48" i="5"/>
  <c r="L48" i="5"/>
  <c r="K48" i="5"/>
  <c r="J48" i="5"/>
  <c r="I48" i="5"/>
  <c r="G188" i="3"/>
  <c r="G196" i="3"/>
  <c r="I68" i="2"/>
  <c r="L65" i="2"/>
  <c r="K65" i="2"/>
  <c r="J65" i="2"/>
  <c r="H188" i="3"/>
  <c r="H196" i="3"/>
  <c r="M13" i="5"/>
  <c r="L13" i="5"/>
  <c r="K13" i="5"/>
  <c r="J13" i="5"/>
  <c r="I13" i="5"/>
  <c r="L18" i="5"/>
  <c r="K18" i="5"/>
  <c r="J18" i="5"/>
  <c r="I18" i="5"/>
  <c r="M18" i="5"/>
  <c r="S20" i="6"/>
  <c r="R20" i="6"/>
  <c r="Q20" i="6"/>
  <c r="L28" i="3"/>
  <c r="K28" i="3"/>
  <c r="J28" i="3"/>
  <c r="L153" i="3"/>
  <c r="K153" i="3"/>
  <c r="J153" i="3"/>
  <c r="L161" i="3"/>
  <c r="K161" i="3"/>
  <c r="J161" i="3"/>
  <c r="L169" i="3"/>
  <c r="K169" i="3"/>
  <c r="J169" i="3"/>
  <c r="I188" i="3"/>
  <c r="L177" i="3"/>
  <c r="K177" i="3"/>
  <c r="J177" i="3"/>
  <c r="L185" i="3"/>
  <c r="K185" i="3"/>
  <c r="I196" i="3"/>
  <c r="J185" i="3"/>
  <c r="M10" i="5"/>
  <c r="L10" i="5"/>
  <c r="K10" i="5"/>
  <c r="J10" i="5"/>
  <c r="I10" i="5"/>
  <c r="W24" i="5"/>
  <c r="V24" i="5"/>
  <c r="U24" i="5"/>
  <c r="T24" i="5"/>
  <c r="S24" i="5"/>
  <c r="M29" i="5"/>
  <c r="L29" i="5"/>
  <c r="K29" i="5"/>
  <c r="J29" i="5"/>
  <c r="I29" i="5"/>
  <c r="M7" i="5"/>
  <c r="L7" i="5"/>
  <c r="K7" i="5"/>
  <c r="J7" i="5"/>
  <c r="I7" i="5"/>
  <c r="G190" i="3"/>
  <c r="H190" i="3"/>
  <c r="W30" i="5"/>
  <c r="V30" i="5"/>
  <c r="U30" i="5"/>
  <c r="T30" i="5"/>
  <c r="S30" i="5"/>
  <c r="W14" i="5"/>
  <c r="V14" i="5"/>
  <c r="U14" i="5"/>
  <c r="T14" i="5"/>
  <c r="S14" i="5"/>
  <c r="M16" i="5"/>
  <c r="L16" i="5"/>
  <c r="K16" i="5"/>
  <c r="J16" i="5"/>
  <c r="I16" i="5"/>
  <c r="W33" i="5"/>
  <c r="V33" i="5"/>
  <c r="U33" i="5"/>
  <c r="T33" i="5"/>
  <c r="S33" i="5"/>
  <c r="M35" i="5"/>
  <c r="L35" i="5"/>
  <c r="K35" i="5"/>
  <c r="J35" i="5"/>
  <c r="I35" i="5"/>
  <c r="M51" i="5"/>
  <c r="L51" i="5"/>
  <c r="K51" i="5"/>
  <c r="J51" i="5"/>
  <c r="I51" i="5"/>
  <c r="K11" i="6"/>
  <c r="J11" i="6"/>
  <c r="I11" i="6"/>
  <c r="K26" i="6"/>
  <c r="J26" i="6"/>
  <c r="I26" i="6"/>
  <c r="K27" i="6"/>
  <c r="J27" i="6"/>
  <c r="I27" i="6"/>
  <c r="K28" i="6"/>
  <c r="J28" i="6"/>
  <c r="I28" i="6"/>
  <c r="I35" i="6"/>
  <c r="K35" i="6"/>
  <c r="J35" i="6"/>
  <c r="S38" i="6"/>
  <c r="R38" i="6"/>
  <c r="Q38" i="6"/>
  <c r="K42" i="6"/>
  <c r="J42" i="6"/>
  <c r="I42" i="6"/>
  <c r="W43" i="5"/>
  <c r="V43" i="5"/>
  <c r="U43" i="5"/>
  <c r="T43" i="5"/>
  <c r="S43" i="5"/>
  <c r="M45" i="5"/>
  <c r="L45" i="5"/>
  <c r="K45" i="5"/>
  <c r="J45" i="5"/>
  <c r="I45" i="5"/>
  <c r="K13" i="6"/>
  <c r="J13" i="6"/>
  <c r="I13" i="6"/>
  <c r="W40" i="5"/>
  <c r="V40" i="5"/>
  <c r="U40" i="5"/>
  <c r="T40" i="5"/>
  <c r="S40" i="5"/>
  <c r="M42" i="5"/>
  <c r="L42" i="5"/>
  <c r="K42" i="5"/>
  <c r="J42" i="5"/>
  <c r="I42" i="5"/>
  <c r="K14" i="6"/>
  <c r="J14" i="6"/>
  <c r="I14" i="6"/>
  <c r="K41" i="6"/>
  <c r="J41" i="6"/>
  <c r="I41" i="6"/>
  <c r="M23" i="5"/>
  <c r="L23" i="5"/>
  <c r="K23" i="5"/>
  <c r="J23" i="5"/>
  <c r="I23" i="5"/>
  <c r="K15" i="6"/>
  <c r="J15" i="6"/>
  <c r="I15" i="6"/>
  <c r="M36" i="5"/>
  <c r="L36" i="5"/>
  <c r="K36" i="5"/>
  <c r="J36" i="5"/>
  <c r="I36" i="5"/>
  <c r="K16" i="6"/>
  <c r="J16" i="6"/>
  <c r="I16" i="6"/>
  <c r="W12" i="5"/>
  <c r="V12" i="5"/>
  <c r="U12" i="5"/>
  <c r="T12" i="5"/>
  <c r="S12" i="5"/>
  <c r="M14" i="5"/>
  <c r="L14" i="5"/>
  <c r="K14" i="5"/>
  <c r="J14" i="5"/>
  <c r="I14" i="5"/>
  <c r="M33" i="5"/>
  <c r="L33" i="5"/>
  <c r="K33" i="5"/>
  <c r="J33" i="5"/>
  <c r="I33" i="5"/>
  <c r="M11" i="5"/>
  <c r="L11" i="5"/>
  <c r="K11" i="5"/>
  <c r="J11" i="5"/>
  <c r="I11" i="5"/>
  <c r="M30" i="5"/>
  <c r="L30" i="5"/>
  <c r="K30" i="5"/>
  <c r="J30" i="5"/>
  <c r="I30" i="5"/>
  <c r="M8" i="5"/>
  <c r="L8" i="5"/>
  <c r="K8" i="5"/>
  <c r="J8" i="5"/>
  <c r="I8" i="5"/>
  <c r="M27" i="5"/>
  <c r="L27" i="5"/>
  <c r="K27" i="5"/>
  <c r="J27" i="5"/>
  <c r="I27" i="5"/>
  <c r="L15" i="5"/>
  <c r="K15" i="5"/>
  <c r="J15" i="5"/>
  <c r="I15" i="5"/>
  <c r="M15" i="5"/>
  <c r="K12" i="5"/>
  <c r="J12" i="5"/>
  <c r="I12" i="5"/>
  <c r="M12" i="5"/>
  <c r="L12" i="5"/>
  <c r="K7" i="6"/>
  <c r="J7" i="6"/>
  <c r="I7" i="6"/>
  <c r="V12" i="13"/>
  <c r="T20" i="13"/>
  <c r="W12" i="13"/>
  <c r="U12" i="13"/>
  <c r="L12" i="12"/>
  <c r="K12" i="12"/>
  <c r="J12" i="12"/>
  <c r="I12" i="12"/>
  <c r="L19" i="12"/>
  <c r="K19" i="12"/>
  <c r="J19" i="12"/>
  <c r="I19" i="12"/>
  <c r="V6" i="12"/>
  <c r="T6" i="12"/>
  <c r="S6" i="12"/>
  <c r="L39" i="12"/>
  <c r="K39" i="12"/>
  <c r="J39" i="12"/>
  <c r="I39" i="12"/>
  <c r="V13" i="12"/>
  <c r="T13" i="12"/>
  <c r="S13" i="12"/>
  <c r="L27" i="12"/>
  <c r="K27" i="12"/>
  <c r="J27" i="12"/>
  <c r="I27" i="12"/>
  <c r="J50" i="12"/>
  <c r="I50" i="12"/>
  <c r="L50" i="12"/>
  <c r="K50" i="12"/>
  <c r="L15" i="12"/>
  <c r="K15" i="12"/>
  <c r="J15" i="12"/>
  <c r="I15" i="12"/>
  <c r="L43" i="12"/>
  <c r="K43" i="12"/>
  <c r="J43" i="12"/>
  <c r="I43" i="12"/>
  <c r="K98" i="13"/>
  <c r="J98" i="13"/>
  <c r="I98" i="13"/>
  <c r="L31" i="12"/>
  <c r="K31" i="12"/>
  <c r="J31" i="12"/>
  <c r="I31" i="12"/>
  <c r="L23" i="12"/>
  <c r="K23" i="12"/>
  <c r="J23" i="12"/>
  <c r="I23" i="12"/>
  <c r="V10" i="12"/>
  <c r="T10" i="12"/>
  <c r="S10" i="12"/>
  <c r="L47" i="12"/>
  <c r="K47" i="12"/>
  <c r="J47" i="12"/>
  <c r="I47" i="12"/>
  <c r="V52" i="12"/>
  <c r="T52" i="12"/>
  <c r="S52" i="12"/>
  <c r="L35" i="12"/>
  <c r="K35" i="12"/>
  <c r="J35" i="12"/>
  <c r="I35" i="12"/>
  <c r="H55" i="12"/>
  <c r="L8" i="12"/>
  <c r="K8" i="12"/>
  <c r="J8" i="12"/>
  <c r="I8" i="12"/>
  <c r="J15" i="13"/>
  <c r="I15" i="13"/>
  <c r="K15" i="13"/>
  <c r="J41" i="14"/>
  <c r="I41" i="14"/>
  <c r="L51" i="12"/>
  <c r="K51" i="12"/>
  <c r="J51" i="12"/>
  <c r="I51" i="12"/>
  <c r="K19" i="13"/>
  <c r="J19" i="13"/>
  <c r="I19" i="13"/>
  <c r="K37" i="13"/>
  <c r="J37" i="13"/>
  <c r="I37" i="13"/>
  <c r="K51" i="13"/>
  <c r="J51" i="13"/>
  <c r="I51" i="13"/>
  <c r="K64" i="13"/>
  <c r="J64" i="13"/>
  <c r="I64" i="13"/>
  <c r="T53" i="12"/>
  <c r="V53" i="12"/>
  <c r="S53" i="12"/>
  <c r="K115" i="13"/>
  <c r="J115" i="13"/>
  <c r="I115" i="13"/>
  <c r="V17" i="12"/>
  <c r="T17" i="12"/>
  <c r="S17" i="12"/>
  <c r="V21" i="12"/>
  <c r="T21" i="12"/>
  <c r="S21" i="12"/>
  <c r="V25" i="12"/>
  <c r="T25" i="12"/>
  <c r="S25" i="12"/>
  <c r="V29" i="12"/>
  <c r="T29" i="12"/>
  <c r="S29" i="12"/>
  <c r="V33" i="12"/>
  <c r="T33" i="12"/>
  <c r="S33" i="12"/>
  <c r="V37" i="12"/>
  <c r="T37" i="12"/>
  <c r="S37" i="12"/>
  <c r="V41" i="12"/>
  <c r="T41" i="12"/>
  <c r="S41" i="12"/>
  <c r="V45" i="12"/>
  <c r="T45" i="12"/>
  <c r="S45" i="12"/>
  <c r="V49" i="12"/>
  <c r="T49" i="12"/>
  <c r="S49" i="12"/>
  <c r="J26" i="13"/>
  <c r="I26" i="13"/>
  <c r="H34" i="13"/>
  <c r="K26" i="13"/>
  <c r="H62" i="13"/>
  <c r="K54" i="13"/>
  <c r="J54" i="13"/>
  <c r="I54" i="13"/>
  <c r="K68" i="13"/>
  <c r="J68" i="13"/>
  <c r="I68" i="13"/>
  <c r="H76" i="13"/>
  <c r="K18" i="13"/>
  <c r="J18" i="13"/>
  <c r="I18" i="13"/>
  <c r="V7" i="12"/>
  <c r="T7" i="12"/>
  <c r="S7" i="12"/>
  <c r="V14" i="12"/>
  <c r="T14" i="12"/>
  <c r="S14" i="12"/>
  <c r="K29" i="13"/>
  <c r="J29" i="13"/>
  <c r="I29" i="13"/>
  <c r="J38" i="13"/>
  <c r="K38" i="13"/>
  <c r="I38" i="13"/>
  <c r="J43" i="13"/>
  <c r="I43" i="13"/>
  <c r="K43" i="13"/>
  <c r="V11" i="12"/>
  <c r="T11" i="12"/>
  <c r="S11" i="12"/>
  <c r="J13" i="14"/>
  <c r="I13" i="14"/>
  <c r="M62" i="15"/>
  <c r="L62" i="15"/>
  <c r="K62" i="15"/>
  <c r="J62" i="15"/>
  <c r="I62" i="15"/>
  <c r="J32" i="14"/>
  <c r="I32" i="14"/>
  <c r="J125" i="14"/>
  <c r="I125" i="14"/>
  <c r="Y17" i="15"/>
  <c r="X17" i="15"/>
  <c r="W17" i="15"/>
  <c r="J49" i="14"/>
  <c r="I49" i="14"/>
  <c r="J58" i="14"/>
  <c r="I58" i="14"/>
  <c r="J67" i="14"/>
  <c r="I67" i="14"/>
  <c r="J75" i="14"/>
  <c r="I75" i="14"/>
  <c r="J84" i="14"/>
  <c r="I84" i="14"/>
  <c r="J92" i="14"/>
  <c r="I92" i="14"/>
  <c r="J101" i="14"/>
  <c r="I101" i="14"/>
  <c r="J110" i="14"/>
  <c r="I110" i="14"/>
  <c r="Y13" i="15"/>
  <c r="X13" i="15"/>
  <c r="V21" i="15"/>
  <c r="W13" i="15"/>
  <c r="I27" i="14"/>
  <c r="J27" i="14"/>
  <c r="I35" i="14"/>
  <c r="J35" i="14"/>
  <c r="I44" i="14"/>
  <c r="J44" i="14"/>
  <c r="I53" i="14"/>
  <c r="J53" i="14"/>
  <c r="I61" i="14"/>
  <c r="J61" i="14"/>
  <c r="I70" i="14"/>
  <c r="J70" i="14"/>
  <c r="I78" i="14"/>
  <c r="J78" i="14"/>
  <c r="I87" i="14"/>
  <c r="J87" i="14"/>
  <c r="I96" i="14"/>
  <c r="J96" i="14"/>
  <c r="I104" i="14"/>
  <c r="J104" i="14"/>
  <c r="I113" i="14"/>
  <c r="H121" i="14"/>
  <c r="J113" i="14"/>
  <c r="J120" i="14"/>
  <c r="I120" i="14"/>
  <c r="I126" i="14"/>
  <c r="J126" i="14"/>
  <c r="Y9" i="15"/>
  <c r="X9" i="15"/>
  <c r="W9" i="15"/>
  <c r="J17" i="14"/>
  <c r="I17" i="14"/>
  <c r="J21" i="14"/>
  <c r="I21" i="14"/>
  <c r="J116" i="14"/>
  <c r="I116" i="14"/>
  <c r="J12" i="14"/>
  <c r="I12" i="14"/>
  <c r="J30" i="14"/>
  <c r="I30" i="14"/>
  <c r="J39" i="14"/>
  <c r="I39" i="14"/>
  <c r="J47" i="14"/>
  <c r="I47" i="14"/>
  <c r="J56" i="14"/>
  <c r="I56" i="14"/>
  <c r="J64" i="14"/>
  <c r="I64" i="14"/>
  <c r="J73" i="14"/>
  <c r="I73" i="14"/>
  <c r="J82" i="14"/>
  <c r="I82" i="14"/>
  <c r="J90" i="14"/>
  <c r="I90" i="14"/>
  <c r="J99" i="14"/>
  <c r="I99" i="14"/>
  <c r="H107" i="14"/>
  <c r="I117" i="14"/>
  <c r="J117" i="14"/>
  <c r="I25" i="14"/>
  <c r="J25" i="14"/>
  <c r="I33" i="14"/>
  <c r="J33" i="14"/>
  <c r="I42" i="14"/>
  <c r="J42" i="14"/>
  <c r="I50" i="14"/>
  <c r="J50" i="14"/>
  <c r="I59" i="14"/>
  <c r="J59" i="14"/>
  <c r="I68" i="14"/>
  <c r="J68" i="14"/>
  <c r="I76" i="14"/>
  <c r="J76" i="14"/>
  <c r="I85" i="14"/>
  <c r="J85" i="14"/>
  <c r="H93" i="14"/>
  <c r="I102" i="14"/>
  <c r="J102" i="14"/>
  <c r="I111" i="14"/>
  <c r="J111" i="14"/>
  <c r="J16" i="14"/>
  <c r="I16" i="14"/>
  <c r="J20" i="14"/>
  <c r="I20" i="14"/>
  <c r="J127" i="14"/>
  <c r="I127" i="14"/>
  <c r="H135" i="14"/>
  <c r="J11" i="14"/>
  <c r="I11" i="14"/>
  <c r="J28" i="14"/>
  <c r="I28" i="14"/>
  <c r="J36" i="14"/>
  <c r="I36" i="14"/>
  <c r="J45" i="14"/>
  <c r="I45" i="14"/>
  <c r="J54" i="14"/>
  <c r="I54" i="14"/>
  <c r="J62" i="14"/>
  <c r="I62" i="14"/>
  <c r="J71" i="14"/>
  <c r="I71" i="14"/>
  <c r="H79" i="14"/>
  <c r="J88" i="14"/>
  <c r="I88" i="14"/>
  <c r="J97" i="14"/>
  <c r="I97" i="14"/>
  <c r="J105" i="14"/>
  <c r="I105" i="14"/>
  <c r="J114" i="14"/>
  <c r="I114" i="14"/>
  <c r="J123" i="14"/>
  <c r="I123" i="14"/>
  <c r="I128" i="14"/>
  <c r="J128" i="14"/>
  <c r="I31" i="14"/>
  <c r="J31" i="14"/>
  <c r="I40" i="14"/>
  <c r="J40" i="14"/>
  <c r="I48" i="14"/>
  <c r="J48" i="14"/>
  <c r="I57" i="14"/>
  <c r="J57" i="14"/>
  <c r="H65" i="14"/>
  <c r="I74" i="14"/>
  <c r="J74" i="14"/>
  <c r="I83" i="14"/>
  <c r="J83" i="14"/>
  <c r="I91" i="14"/>
  <c r="J91" i="14"/>
  <c r="I100" i="14"/>
  <c r="J100" i="14"/>
  <c r="I109" i="14"/>
  <c r="J109" i="14"/>
  <c r="J19" i="14"/>
  <c r="I19" i="14"/>
  <c r="J118" i="14"/>
  <c r="I118" i="14"/>
  <c r="I124" i="14"/>
  <c r="J124" i="14"/>
  <c r="I115" i="14"/>
  <c r="J115" i="14"/>
  <c r="J129" i="14"/>
  <c r="I129" i="14"/>
  <c r="J26" i="14"/>
  <c r="I26" i="14"/>
  <c r="J34" i="14"/>
  <c r="I34" i="14"/>
  <c r="J43" i="14"/>
  <c r="I43" i="14"/>
  <c r="H51" i="14"/>
  <c r="J60" i="14"/>
  <c r="I60" i="14"/>
  <c r="J69" i="14"/>
  <c r="I69" i="14"/>
  <c r="J77" i="14"/>
  <c r="I77" i="14"/>
  <c r="J86" i="14"/>
  <c r="I86" i="14"/>
  <c r="J95" i="14"/>
  <c r="I95" i="14"/>
  <c r="J103" i="14"/>
  <c r="I103" i="14"/>
  <c r="J112" i="14"/>
  <c r="I112" i="14"/>
  <c r="I119" i="14"/>
  <c r="J119" i="14"/>
  <c r="I29" i="14"/>
  <c r="J29" i="14"/>
  <c r="H37" i="14"/>
  <c r="I46" i="14"/>
  <c r="J46" i="14"/>
  <c r="I55" i="14"/>
  <c r="J55" i="14"/>
  <c r="I63" i="14"/>
  <c r="J63" i="14"/>
  <c r="I72" i="14"/>
  <c r="J72" i="14"/>
  <c r="I81" i="14"/>
  <c r="J81" i="14"/>
  <c r="I89" i="14"/>
  <c r="J89" i="14"/>
  <c r="I98" i="14"/>
  <c r="J98" i="14"/>
  <c r="I106" i="14"/>
  <c r="J106" i="14"/>
  <c r="I130" i="14"/>
  <c r="J130" i="14"/>
  <c r="I18" i="14"/>
  <c r="J18" i="14"/>
  <c r="I22" i="14"/>
  <c r="J22" i="14"/>
  <c r="X10" i="18"/>
  <c r="V18" i="16"/>
  <c r="U18" i="16"/>
  <c r="J102" i="16"/>
  <c r="I102" i="16"/>
  <c r="J104" i="16"/>
  <c r="I104" i="16"/>
  <c r="Y10" i="15"/>
  <c r="X10" i="15"/>
  <c r="W10" i="15"/>
  <c r="Y14" i="15"/>
  <c r="X14" i="15"/>
  <c r="W14" i="15"/>
  <c r="V15" i="17"/>
  <c r="U15" i="17"/>
  <c r="V15" i="16"/>
  <c r="U15" i="16"/>
  <c r="J131" i="14"/>
  <c r="I131" i="14"/>
  <c r="J133" i="14"/>
  <c r="I133" i="14"/>
  <c r="J138" i="14"/>
  <c r="I138" i="14"/>
  <c r="J140" i="14"/>
  <c r="I140" i="14"/>
  <c r="J142" i="14"/>
  <c r="I142" i="14"/>
  <c r="J144" i="14"/>
  <c r="I144" i="14"/>
  <c r="J146" i="14"/>
  <c r="I146" i="14"/>
  <c r="J148" i="14"/>
  <c r="I148" i="14"/>
  <c r="J151" i="14"/>
  <c r="I151" i="14"/>
  <c r="J153" i="14"/>
  <c r="I153" i="14"/>
  <c r="J155" i="14"/>
  <c r="I155" i="14"/>
  <c r="H163" i="14"/>
  <c r="J157" i="14"/>
  <c r="I157" i="14"/>
  <c r="J159" i="14"/>
  <c r="I159" i="14"/>
  <c r="J161" i="14"/>
  <c r="I161" i="14"/>
  <c r="J32" i="16"/>
  <c r="I32" i="16"/>
  <c r="H23" i="14"/>
  <c r="I15" i="14"/>
  <c r="J15" i="14"/>
  <c r="J16" i="16"/>
  <c r="I16" i="16"/>
  <c r="I84" i="16"/>
  <c r="J84" i="16"/>
  <c r="J14" i="14"/>
  <c r="I14" i="14"/>
  <c r="Y11" i="15"/>
  <c r="W11" i="15"/>
  <c r="X11" i="15"/>
  <c r="V12" i="16"/>
  <c r="U12" i="16"/>
  <c r="J129" i="16"/>
  <c r="I129" i="16"/>
  <c r="J26" i="16"/>
  <c r="I26" i="16"/>
  <c r="J87" i="16"/>
  <c r="I87" i="16"/>
  <c r="K129" i="17"/>
  <c r="J129" i="17"/>
  <c r="I129" i="17"/>
  <c r="H35" i="16"/>
  <c r="J27" i="16"/>
  <c r="I27" i="16"/>
  <c r="J43" i="16"/>
  <c r="I43" i="16"/>
  <c r="V20" i="16"/>
  <c r="U20" i="16"/>
  <c r="J68" i="16"/>
  <c r="I68" i="16"/>
  <c r="I132" i="14"/>
  <c r="J132" i="14"/>
  <c r="I134" i="14"/>
  <c r="J134" i="14"/>
  <c r="I137" i="14"/>
  <c r="J137" i="14"/>
  <c r="I139" i="14"/>
  <c r="J139" i="14"/>
  <c r="I141" i="14"/>
  <c r="H149" i="14"/>
  <c r="J141" i="14"/>
  <c r="I143" i="14"/>
  <c r="J143" i="14"/>
  <c r="I145" i="14"/>
  <c r="J145" i="14"/>
  <c r="I147" i="14"/>
  <c r="J147" i="14"/>
  <c r="I152" i="14"/>
  <c r="J152" i="14"/>
  <c r="I154" i="14"/>
  <c r="J154" i="14"/>
  <c r="I156" i="14"/>
  <c r="J156" i="14"/>
  <c r="I158" i="14"/>
  <c r="J158" i="14"/>
  <c r="I160" i="14"/>
  <c r="J160" i="14"/>
  <c r="I162" i="14"/>
  <c r="J162" i="14"/>
  <c r="V10" i="16"/>
  <c r="U10" i="16"/>
  <c r="W10" i="16"/>
  <c r="T9" i="16"/>
  <c r="W13" i="16" s="1"/>
  <c r="J69" i="16"/>
  <c r="I69" i="16"/>
  <c r="H77" i="16"/>
  <c r="K26" i="17"/>
  <c r="J26" i="17"/>
  <c r="I26" i="17"/>
  <c r="J137" i="16"/>
  <c r="I137" i="16"/>
  <c r="W20" i="18"/>
  <c r="X12" i="18"/>
  <c r="K20" i="17"/>
  <c r="J20" i="17"/>
  <c r="I20" i="17"/>
  <c r="Q32" i="18"/>
  <c r="V11" i="16"/>
  <c r="U11" i="16"/>
  <c r="W19" i="16"/>
  <c r="V19" i="16"/>
  <c r="U19" i="16"/>
  <c r="K159" i="17"/>
  <c r="J159" i="17"/>
  <c r="I159" i="17"/>
  <c r="J40" i="17"/>
  <c r="I40" i="17"/>
  <c r="K85" i="17"/>
  <c r="J85" i="17"/>
  <c r="I85" i="17"/>
  <c r="Q42" i="18"/>
  <c r="J48" i="16"/>
  <c r="I48" i="16"/>
  <c r="K17" i="17"/>
  <c r="J17" i="17"/>
  <c r="I17" i="17"/>
  <c r="I66" i="18"/>
  <c r="J56" i="17"/>
  <c r="I56" i="17"/>
  <c r="K132" i="17"/>
  <c r="J132" i="17"/>
  <c r="I132" i="17"/>
  <c r="X17" i="18"/>
  <c r="H9" i="17"/>
  <c r="K40" i="17" s="1"/>
  <c r="K10" i="17"/>
  <c r="J10" i="17"/>
  <c r="I10" i="17"/>
  <c r="K31" i="17"/>
  <c r="J31" i="17"/>
  <c r="I31" i="17"/>
  <c r="K46" i="17"/>
  <c r="J46" i="17"/>
  <c r="I46" i="17"/>
  <c r="V13" i="16"/>
  <c r="U13" i="16"/>
  <c r="T21" i="16"/>
  <c r="K24" i="17"/>
  <c r="J24" i="17"/>
  <c r="I24" i="17"/>
  <c r="H23" i="17"/>
  <c r="K90" i="17"/>
  <c r="J90" i="17"/>
  <c r="I90" i="17"/>
  <c r="Q25" i="18"/>
  <c r="K19" i="17"/>
  <c r="J19" i="17"/>
  <c r="I19" i="17"/>
  <c r="K104" i="17"/>
  <c r="J104" i="17"/>
  <c r="I104" i="17"/>
  <c r="U14" i="16"/>
  <c r="V14" i="16"/>
  <c r="K57" i="17"/>
  <c r="J57" i="17"/>
  <c r="I57" i="17"/>
  <c r="P34" i="18"/>
  <c r="Q26" i="18"/>
  <c r="K12" i="17"/>
  <c r="J12" i="17"/>
  <c r="I12" i="17"/>
  <c r="H65" i="17"/>
  <c r="J66" i="17"/>
  <c r="I66" i="17"/>
  <c r="K66" i="17"/>
  <c r="K152" i="17"/>
  <c r="J152" i="17"/>
  <c r="I152" i="17"/>
  <c r="P90" i="18"/>
  <c r="Q82" i="18"/>
  <c r="K14" i="17"/>
  <c r="J14" i="17"/>
  <c r="I14" i="17"/>
  <c r="H93" i="17"/>
  <c r="K94" i="17"/>
  <c r="J94" i="17"/>
  <c r="I94" i="17"/>
  <c r="K29" i="17"/>
  <c r="J29" i="17"/>
  <c r="I29" i="17"/>
  <c r="K53" i="17"/>
  <c r="J53" i="17"/>
  <c r="I53" i="17"/>
  <c r="K110" i="17"/>
  <c r="J110" i="17"/>
  <c r="I110" i="17"/>
  <c r="K43" i="17"/>
  <c r="J43" i="17"/>
  <c r="I43" i="17"/>
  <c r="Q57" i="18"/>
  <c r="J18" i="17"/>
  <c r="I18" i="17"/>
  <c r="K18" i="17"/>
  <c r="J48" i="17"/>
  <c r="I48" i="17"/>
  <c r="K48" i="17"/>
  <c r="K155" i="17"/>
  <c r="J155" i="17"/>
  <c r="I155" i="17"/>
  <c r="U17" i="16"/>
  <c r="W17" i="16"/>
  <c r="V17" i="16"/>
  <c r="K39" i="17"/>
  <c r="J39" i="17"/>
  <c r="I39" i="17"/>
  <c r="I58" i="18"/>
  <c r="K11" i="17"/>
  <c r="J11" i="17"/>
  <c r="I11" i="17"/>
  <c r="K71" i="17"/>
  <c r="J71" i="17"/>
  <c r="I71" i="17"/>
  <c r="K113" i="17"/>
  <c r="J113" i="17"/>
  <c r="I113" i="17"/>
  <c r="H49" i="17"/>
  <c r="I41" i="17"/>
  <c r="K41" i="17"/>
  <c r="J41" i="17"/>
  <c r="I58" i="17"/>
  <c r="K58" i="17"/>
  <c r="J58" i="17"/>
  <c r="H77" i="17"/>
  <c r="K69" i="17"/>
  <c r="I69" i="17"/>
  <c r="J69" i="17"/>
  <c r="K88" i="17"/>
  <c r="J88" i="17"/>
  <c r="I88" i="17"/>
  <c r="H107" i="17"/>
  <c r="K108" i="17"/>
  <c r="J108" i="17"/>
  <c r="I108" i="17"/>
  <c r="K33" i="17"/>
  <c r="J33" i="17"/>
  <c r="I33" i="17"/>
  <c r="K60" i="17"/>
  <c r="J60" i="17"/>
  <c r="I60" i="17"/>
  <c r="H119" i="17"/>
  <c r="K111" i="17"/>
  <c r="J111" i="17"/>
  <c r="I111" i="17"/>
  <c r="K130" i="17"/>
  <c r="J130" i="17"/>
  <c r="I130" i="17"/>
  <c r="H91" i="17"/>
  <c r="K83" i="17"/>
  <c r="J83" i="17"/>
  <c r="I83" i="17"/>
  <c r="K102" i="17"/>
  <c r="J102" i="17"/>
  <c r="I102" i="17"/>
  <c r="K122" i="17"/>
  <c r="J122" i="17"/>
  <c r="I122" i="17"/>
  <c r="H121" i="17"/>
  <c r="K86" i="17"/>
  <c r="J86" i="17"/>
  <c r="I86" i="17"/>
  <c r="H133" i="17"/>
  <c r="K125" i="17"/>
  <c r="J125" i="17"/>
  <c r="I125" i="17"/>
  <c r="K144" i="17"/>
  <c r="J144" i="17"/>
  <c r="I144" i="17"/>
  <c r="P22" i="18"/>
  <c r="Q23" i="18"/>
  <c r="K30" i="17"/>
  <c r="J30" i="17"/>
  <c r="I30" i="17"/>
  <c r="K75" i="17"/>
  <c r="J75" i="17"/>
  <c r="I75" i="17"/>
  <c r="K95" i="17"/>
  <c r="J95" i="17"/>
  <c r="I95" i="17"/>
  <c r="K15" i="17"/>
  <c r="J15" i="17"/>
  <c r="I15" i="17"/>
  <c r="K25" i="17"/>
  <c r="J25" i="17"/>
  <c r="I25" i="17"/>
  <c r="Q13" i="18"/>
  <c r="I12" i="19"/>
  <c r="H12" i="19"/>
  <c r="H13" i="19"/>
  <c r="G21" i="19"/>
  <c r="I13" i="19"/>
  <c r="G37" i="19"/>
  <c r="I38" i="19"/>
  <c r="H38" i="19"/>
  <c r="R83" i="19"/>
  <c r="Q83" i="19"/>
  <c r="P83" i="19"/>
  <c r="O91" i="19"/>
  <c r="Y14" i="19"/>
  <c r="X14" i="19"/>
  <c r="Y25" i="19"/>
  <c r="X25" i="19"/>
  <c r="I27" i="19"/>
  <c r="G35" i="19"/>
  <c r="H27" i="19"/>
  <c r="I146" i="19"/>
  <c r="H146" i="19"/>
  <c r="I53" i="19"/>
  <c r="H53" i="19"/>
  <c r="P10" i="19"/>
  <c r="Q10" i="19"/>
  <c r="O9" i="19"/>
  <c r="R10" i="19" s="1"/>
  <c r="Y55" i="19"/>
  <c r="W63" i="19"/>
  <c r="X55" i="19"/>
  <c r="R39" i="19"/>
  <c r="Q39" i="19"/>
  <c r="P39" i="19"/>
  <c r="R47" i="19"/>
  <c r="Q47" i="19"/>
  <c r="P47" i="19"/>
  <c r="R19" i="19"/>
  <c r="Q19" i="19"/>
  <c r="P19" i="19"/>
  <c r="R30" i="19"/>
  <c r="Q30" i="19"/>
  <c r="P30" i="19"/>
  <c r="R45" i="19"/>
  <c r="Q45" i="19"/>
  <c r="P45" i="19"/>
  <c r="I128" i="21"/>
  <c r="H128" i="21"/>
  <c r="I82" i="21"/>
  <c r="H82" i="21"/>
  <c r="R11" i="19"/>
  <c r="Q11" i="19"/>
  <c r="P11" i="19"/>
  <c r="I14" i="19"/>
  <c r="H14" i="19"/>
  <c r="O23" i="19"/>
  <c r="R24" i="19"/>
  <c r="Q24" i="19"/>
  <c r="P24" i="19"/>
  <c r="R41" i="19"/>
  <c r="Q41" i="19"/>
  <c r="P41" i="19"/>
  <c r="O49" i="19"/>
  <c r="R43" i="19"/>
  <c r="Q43" i="19"/>
  <c r="P43" i="19"/>
  <c r="H15" i="19"/>
  <c r="I15" i="19"/>
  <c r="R81" i="19"/>
  <c r="Q81" i="19"/>
  <c r="P81" i="19"/>
  <c r="P12" i="19"/>
  <c r="R12" i="19"/>
  <c r="Q12" i="19"/>
  <c r="I48" i="19"/>
  <c r="H48" i="19"/>
  <c r="R76" i="19"/>
  <c r="Q76" i="19"/>
  <c r="P76" i="19"/>
  <c r="R13" i="19"/>
  <c r="Q13" i="19"/>
  <c r="O21" i="19"/>
  <c r="P13" i="19"/>
  <c r="R17" i="19"/>
  <c r="Q17" i="19"/>
  <c r="P17" i="19"/>
  <c r="R32" i="19"/>
  <c r="Q32" i="19"/>
  <c r="P32" i="19"/>
  <c r="Q13" i="21"/>
  <c r="R13" i="21"/>
  <c r="P16" i="19"/>
  <c r="R16" i="19"/>
  <c r="Q16" i="19"/>
  <c r="R26" i="19"/>
  <c r="Q26" i="19"/>
  <c r="P26" i="19"/>
  <c r="P14" i="19"/>
  <c r="R14" i="19"/>
  <c r="Q14" i="19"/>
  <c r="R15" i="19"/>
  <c r="Q15" i="19"/>
  <c r="P15" i="19"/>
  <c r="J108" i="22"/>
  <c r="L108" i="22"/>
  <c r="K108" i="22"/>
  <c r="I16" i="21"/>
  <c r="H16" i="21"/>
  <c r="X17" i="22"/>
  <c r="W17" i="22"/>
  <c r="V17" i="22"/>
  <c r="L24" i="22"/>
  <c r="K24" i="22"/>
  <c r="J24" i="22"/>
  <c r="R12" i="21"/>
  <c r="Q12" i="21"/>
  <c r="L41" i="22"/>
  <c r="K41" i="22"/>
  <c r="J41" i="22"/>
  <c r="I49" i="22"/>
  <c r="X11" i="22"/>
  <c r="V11" i="22"/>
  <c r="W11" i="22"/>
  <c r="J125" i="22"/>
  <c r="L125" i="22"/>
  <c r="K125" i="22"/>
  <c r="I133" i="22"/>
  <c r="L32" i="22"/>
  <c r="K32" i="22"/>
  <c r="J32" i="22"/>
  <c r="L70" i="22"/>
  <c r="J70" i="22"/>
  <c r="K70" i="22"/>
  <c r="L14" i="22"/>
  <c r="J14" i="22"/>
  <c r="K14" i="22"/>
  <c r="L61" i="22"/>
  <c r="J61" i="22"/>
  <c r="K61" i="22"/>
  <c r="J159" i="22"/>
  <c r="K159" i="22"/>
  <c r="L159" i="22"/>
  <c r="L53" i="22"/>
  <c r="J53" i="22"/>
  <c r="K53" i="22"/>
  <c r="L44" i="22"/>
  <c r="J44" i="22"/>
  <c r="K44" i="22"/>
  <c r="L90" i="22"/>
  <c r="J90" i="22"/>
  <c r="K90" i="22"/>
  <c r="L11" i="22"/>
  <c r="K11" i="22"/>
  <c r="J11" i="22"/>
  <c r="L27" i="22"/>
  <c r="J27" i="22"/>
  <c r="K27" i="22"/>
  <c r="I35" i="22"/>
  <c r="L75" i="22"/>
  <c r="K75" i="22"/>
  <c r="J75" i="22"/>
  <c r="L20" i="22"/>
  <c r="K20" i="22"/>
  <c r="J20" i="22"/>
  <c r="K96" i="22"/>
  <c r="J96" i="22"/>
  <c r="L96" i="22"/>
  <c r="K8" i="26"/>
  <c r="I8" i="26"/>
  <c r="J8" i="26"/>
  <c r="L79" i="22"/>
  <c r="J79" i="22"/>
  <c r="K79" i="22"/>
  <c r="L99" i="22"/>
  <c r="K99" i="22"/>
  <c r="J99" i="22"/>
  <c r="L67" i="22"/>
  <c r="K67" i="22"/>
  <c r="J67" i="22"/>
  <c r="L58" i="22"/>
  <c r="K58" i="22"/>
  <c r="J58" i="22"/>
  <c r="L15" i="22"/>
  <c r="K15" i="22"/>
  <c r="J15" i="22"/>
  <c r="K25" i="26"/>
  <c r="I25" i="26"/>
  <c r="J25" i="26"/>
  <c r="L16" i="22"/>
  <c r="K16" i="22"/>
  <c r="J16" i="22"/>
  <c r="L26" i="22"/>
  <c r="K26" i="22"/>
  <c r="J26" i="22"/>
  <c r="L34" i="22"/>
  <c r="K34" i="22"/>
  <c r="J34" i="22"/>
  <c r="L43" i="22"/>
  <c r="K43" i="22"/>
  <c r="J43" i="22"/>
  <c r="K10" i="26"/>
  <c r="J10" i="26"/>
  <c r="I10" i="26"/>
  <c r="K42" i="26"/>
  <c r="I42" i="26"/>
  <c r="J42" i="26"/>
  <c r="K27" i="26"/>
  <c r="J27" i="26"/>
  <c r="I27" i="26"/>
  <c r="H76" i="26"/>
  <c r="K68" i="26"/>
  <c r="J68" i="26"/>
  <c r="I68" i="26"/>
  <c r="K44" i="26"/>
  <c r="J44" i="26"/>
  <c r="I44" i="26"/>
  <c r="K31" i="26"/>
  <c r="J31" i="26"/>
  <c r="I31" i="26"/>
  <c r="K102" i="27"/>
  <c r="J102" i="27"/>
  <c r="I102" i="27"/>
  <c r="K19" i="26"/>
  <c r="J19" i="26"/>
  <c r="I19" i="26"/>
  <c r="K66" i="27"/>
  <c r="J66" i="27"/>
  <c r="I66" i="27"/>
  <c r="H20" i="26"/>
  <c r="K12" i="26"/>
  <c r="J12" i="26"/>
  <c r="I12" i="26"/>
  <c r="K75" i="27"/>
  <c r="J75" i="27"/>
  <c r="I75" i="27"/>
  <c r="M115" i="28"/>
  <c r="L115" i="28"/>
  <c r="K115" i="28"/>
  <c r="J115" i="28"/>
  <c r="I115" i="28"/>
  <c r="J81" i="27"/>
  <c r="K81" i="27"/>
  <c r="I81" i="27"/>
  <c r="K150" i="27"/>
  <c r="J150" i="27"/>
  <c r="I150" i="27"/>
  <c r="K19" i="27"/>
  <c r="I19" i="27"/>
  <c r="J19" i="27"/>
  <c r="K37" i="27"/>
  <c r="I37" i="27"/>
  <c r="J37" i="27"/>
  <c r="K58" i="27"/>
  <c r="J58" i="27"/>
  <c r="I58" i="27"/>
  <c r="K22" i="27"/>
  <c r="J22" i="27"/>
  <c r="I22" i="27"/>
  <c r="H104" i="27"/>
  <c r="I96" i="27"/>
  <c r="J96" i="27"/>
  <c r="K96" i="27"/>
  <c r="K39" i="27"/>
  <c r="J39" i="27"/>
  <c r="I39" i="27"/>
  <c r="K14" i="27"/>
  <c r="J14" i="27"/>
  <c r="I14" i="27"/>
  <c r="E34" i="27"/>
  <c r="M45" i="28"/>
  <c r="L45" i="28"/>
  <c r="K45" i="28"/>
  <c r="J45" i="28"/>
  <c r="I45" i="28"/>
  <c r="M57" i="28"/>
  <c r="K57" i="28"/>
  <c r="L57" i="28"/>
  <c r="I57" i="28"/>
  <c r="J57" i="28"/>
  <c r="C48" i="27"/>
  <c r="M22" i="28"/>
  <c r="L22" i="28"/>
  <c r="K22" i="28"/>
  <c r="I22" i="28"/>
  <c r="J22" i="28"/>
  <c r="M11" i="28"/>
  <c r="L11" i="28"/>
  <c r="K11" i="28"/>
  <c r="J11" i="28"/>
  <c r="I11" i="28"/>
  <c r="M37" i="28"/>
  <c r="L37" i="28"/>
  <c r="K37" i="28"/>
  <c r="J37" i="28"/>
  <c r="I37" i="28"/>
  <c r="M28" i="28"/>
  <c r="L28" i="28"/>
  <c r="K28" i="28"/>
  <c r="J28" i="28"/>
  <c r="I28" i="28"/>
  <c r="H123" i="30"/>
  <c r="H207" i="30"/>
  <c r="H142" i="30"/>
  <c r="H76" i="30"/>
  <c r="J86" i="30"/>
  <c r="J34" i="30"/>
  <c r="L55" i="30"/>
  <c r="F128" i="30"/>
  <c r="F40" i="30"/>
  <c r="L62" i="30"/>
  <c r="F59" i="30"/>
  <c r="J65" i="30"/>
  <c r="F173" i="30"/>
  <c r="F11" i="30"/>
  <c r="H18" i="30"/>
  <c r="H34" i="30"/>
  <c r="H62" i="30"/>
  <c r="J55" i="30"/>
  <c r="F76" i="30"/>
  <c r="J142" i="30"/>
  <c r="H173" i="30"/>
  <c r="H11" i="30"/>
  <c r="H40" i="30"/>
  <c r="L60" i="30"/>
  <c r="J77" i="30"/>
  <c r="F144" i="30"/>
  <c r="H211" i="30"/>
  <c r="J9" i="30"/>
  <c r="L19" i="30"/>
  <c r="L34" i="30"/>
  <c r="N57" i="30"/>
  <c r="L77" i="30"/>
  <c r="L131" i="30"/>
  <c r="L145" i="30"/>
  <c r="F197" i="30"/>
  <c r="J211" i="30"/>
  <c r="F12" i="30"/>
  <c r="F15" i="30"/>
  <c r="N56" i="30"/>
  <c r="N78" i="30"/>
  <c r="L9" i="30"/>
  <c r="H15" i="30"/>
  <c r="L35" i="30"/>
  <c r="L41" i="30"/>
  <c r="H147" i="30"/>
  <c r="H197" i="30"/>
  <c r="H12" i="30"/>
  <c r="L31" i="30"/>
  <c r="N35" i="30"/>
  <c r="F80" i="30"/>
  <c r="J147" i="30"/>
  <c r="H14" i="31"/>
  <c r="N9" i="30"/>
  <c r="N31" i="30"/>
  <c r="H80" i="30"/>
  <c r="F216" i="30"/>
  <c r="H233" i="30"/>
  <c r="L253" i="30"/>
  <c r="H16" i="31"/>
  <c r="J12" i="30"/>
  <c r="J16" i="30"/>
  <c r="H21" i="30"/>
  <c r="F58" i="30"/>
  <c r="J81" i="30"/>
  <c r="N164" i="30"/>
  <c r="L218" i="30"/>
  <c r="J233" i="30"/>
  <c r="L12" i="30"/>
  <c r="H43" i="30"/>
  <c r="L81" i="30"/>
  <c r="H151" i="30"/>
  <c r="H166" i="30"/>
  <c r="H236" i="30"/>
  <c r="N57" i="33"/>
  <c r="F10" i="30"/>
  <c r="L16" i="30"/>
  <c r="J21" i="30"/>
  <c r="F37" i="30"/>
  <c r="J43" i="30"/>
  <c r="F83" i="30"/>
  <c r="J151" i="30"/>
  <c r="J236" i="30"/>
  <c r="J59" i="30"/>
  <c r="H83" i="30"/>
  <c r="H168" i="30"/>
  <c r="L185" i="30"/>
  <c r="F238" i="30"/>
  <c r="L239" i="30"/>
  <c r="L261" i="30"/>
  <c r="F280" i="30"/>
  <c r="F62" i="31"/>
  <c r="N10" i="30"/>
  <c r="L13" i="30"/>
  <c r="F33" i="30"/>
  <c r="F54" i="30"/>
  <c r="L84" i="30"/>
  <c r="J168" i="30"/>
  <c r="J38" i="30"/>
  <c r="H54" i="30"/>
  <c r="N13" i="30"/>
  <c r="F18" i="30"/>
  <c r="H33" i="30"/>
  <c r="L38" i="30"/>
  <c r="F61" i="30"/>
  <c r="H86" i="30"/>
  <c r="N168" i="30"/>
  <c r="F171" i="30"/>
  <c r="L189" i="30"/>
  <c r="F207" i="30"/>
  <c r="J13" i="30"/>
  <c r="N14" i="30"/>
  <c r="H16" i="30"/>
  <c r="J19" i="30"/>
  <c r="F21" i="30"/>
  <c r="H55" i="30"/>
  <c r="L56" i="30"/>
  <c r="H59" i="30"/>
  <c r="J62" i="30"/>
  <c r="F64" i="30"/>
  <c r="L65" i="30"/>
  <c r="F97" i="30"/>
  <c r="J98" i="30"/>
  <c r="N99" i="30"/>
  <c r="F101" i="30"/>
  <c r="J102" i="30"/>
  <c r="J105" i="30"/>
  <c r="F107" i="30"/>
  <c r="L108" i="30"/>
  <c r="N145" i="30"/>
  <c r="H149" i="30"/>
  <c r="L153" i="30"/>
  <c r="L254" i="30"/>
  <c r="J31" i="31"/>
  <c r="H64" i="30"/>
  <c r="H97" i="30"/>
  <c r="L98" i="30"/>
  <c r="H101" i="30"/>
  <c r="L102" i="30"/>
  <c r="F104" i="30"/>
  <c r="L105" i="30"/>
  <c r="H107" i="30"/>
  <c r="L142" i="30"/>
  <c r="H144" i="30"/>
  <c r="J149" i="30"/>
  <c r="L151" i="30"/>
  <c r="F163" i="30"/>
  <c r="N166" i="30"/>
  <c r="J173" i="30"/>
  <c r="N254" i="30"/>
  <c r="F258" i="30"/>
  <c r="F262" i="30"/>
  <c r="H17" i="31"/>
  <c r="L31" i="31"/>
  <c r="N75" i="31"/>
  <c r="H37" i="30"/>
  <c r="J40" i="30"/>
  <c r="F42" i="30"/>
  <c r="L43" i="30"/>
  <c r="F75" i="30"/>
  <c r="J76" i="30"/>
  <c r="N77" i="30"/>
  <c r="F79" i="30"/>
  <c r="J80" i="30"/>
  <c r="J83" i="30"/>
  <c r="F85" i="30"/>
  <c r="L86" i="30"/>
  <c r="F141" i="30"/>
  <c r="J144" i="30"/>
  <c r="L147" i="30"/>
  <c r="L149" i="30"/>
  <c r="L233" i="30"/>
  <c r="L251" i="30"/>
  <c r="H263" i="30"/>
  <c r="J276" i="30"/>
  <c r="J65" i="31"/>
  <c r="H58" i="30"/>
  <c r="L59" i="30"/>
  <c r="H61" i="30"/>
  <c r="J64" i="30"/>
  <c r="J97" i="30"/>
  <c r="N98" i="30"/>
  <c r="F100" i="30"/>
  <c r="J101" i="30"/>
  <c r="N102" i="30"/>
  <c r="H104" i="30"/>
  <c r="J107" i="30"/>
  <c r="F109" i="30"/>
  <c r="J153" i="30"/>
  <c r="H141" i="30"/>
  <c r="N142" i="30"/>
  <c r="F146" i="30"/>
  <c r="F152" i="30"/>
  <c r="H163" i="30"/>
  <c r="F165" i="30"/>
  <c r="H229" i="30"/>
  <c r="F231" i="30"/>
  <c r="L237" i="30"/>
  <c r="F241" i="30"/>
  <c r="L282" i="30"/>
  <c r="J17" i="31"/>
  <c r="H34" i="31"/>
  <c r="L65" i="31"/>
  <c r="F32" i="30"/>
  <c r="J33" i="30"/>
  <c r="N34" i="30"/>
  <c r="F36" i="30"/>
  <c r="J37" i="30"/>
  <c r="F39" i="30"/>
  <c r="L40" i="30"/>
  <c r="H42" i="30"/>
  <c r="H75" i="30"/>
  <c r="L76" i="30"/>
  <c r="L80" i="30"/>
  <c r="F82" i="30"/>
  <c r="L83" i="30"/>
  <c r="L144" i="30"/>
  <c r="H231" i="30"/>
  <c r="J259" i="30"/>
  <c r="N277" i="30"/>
  <c r="N10" i="33"/>
  <c r="J18" i="30"/>
  <c r="F20" i="30"/>
  <c r="L21" i="30"/>
  <c r="F53" i="30"/>
  <c r="J54" i="30"/>
  <c r="N55" i="30"/>
  <c r="F57" i="30"/>
  <c r="J58" i="30"/>
  <c r="J61" i="30"/>
  <c r="F63" i="30"/>
  <c r="L64" i="30"/>
  <c r="L97" i="30"/>
  <c r="H100" i="30"/>
  <c r="L101" i="30"/>
  <c r="J104" i="30"/>
  <c r="F106" i="30"/>
  <c r="L107" i="30"/>
  <c r="H109" i="30"/>
  <c r="J141" i="30"/>
  <c r="F143" i="30"/>
  <c r="H146" i="30"/>
  <c r="F148" i="30"/>
  <c r="F150" i="30"/>
  <c r="H152" i="30"/>
  <c r="F255" i="30"/>
  <c r="L263" i="30"/>
  <c r="L20" i="31"/>
  <c r="H32" i="30"/>
  <c r="L33" i="30"/>
  <c r="H36" i="30"/>
  <c r="L37" i="30"/>
  <c r="H39" i="30"/>
  <c r="J42" i="30"/>
  <c r="J75" i="30"/>
  <c r="N76" i="30"/>
  <c r="F78" i="30"/>
  <c r="J79" i="30"/>
  <c r="J85" i="30"/>
  <c r="L141" i="30"/>
  <c r="N144" i="30"/>
  <c r="F256" i="30"/>
  <c r="L259" i="30"/>
  <c r="H35" i="31"/>
  <c r="N12" i="33"/>
  <c r="J11" i="30"/>
  <c r="N12" i="30"/>
  <c r="F14" i="30"/>
  <c r="J15" i="30"/>
  <c r="F17" i="30"/>
  <c r="L18" i="30"/>
  <c r="H20" i="30"/>
  <c r="H53" i="30"/>
  <c r="L54" i="30"/>
  <c r="H57" i="30"/>
  <c r="L58" i="30"/>
  <c r="F60" i="30"/>
  <c r="L61" i="30"/>
  <c r="N97" i="30"/>
  <c r="F99" i="30"/>
  <c r="J100" i="30"/>
  <c r="N101" i="30"/>
  <c r="F103" i="30"/>
  <c r="L104" i="30"/>
  <c r="H106" i="30"/>
  <c r="J109" i="30"/>
  <c r="H143" i="30"/>
  <c r="J146" i="30"/>
  <c r="H148" i="30"/>
  <c r="J150" i="30"/>
  <c r="J152" i="30"/>
  <c r="F252" i="30"/>
  <c r="F273" i="30"/>
  <c r="F278" i="30"/>
  <c r="L284" i="30"/>
  <c r="F9" i="31"/>
  <c r="F31" i="30"/>
  <c r="J32" i="30"/>
  <c r="N33" i="30"/>
  <c r="F35" i="30"/>
  <c r="J36" i="30"/>
  <c r="J39" i="30"/>
  <c r="F41" i="30"/>
  <c r="L42" i="30"/>
  <c r="N141" i="30"/>
  <c r="L146" i="30"/>
  <c r="J148" i="30"/>
  <c r="H256" i="30"/>
  <c r="N10" i="31"/>
  <c r="F38" i="31"/>
  <c r="F83" i="31"/>
  <c r="H10" i="30"/>
  <c r="L11" i="30"/>
  <c r="H14" i="30"/>
  <c r="L15" i="30"/>
  <c r="H17" i="30"/>
  <c r="J20" i="30"/>
  <c r="J53" i="30"/>
  <c r="N54" i="30"/>
  <c r="F56" i="30"/>
  <c r="J57" i="30"/>
  <c r="N58" i="30"/>
  <c r="J63" i="30"/>
  <c r="H99" i="30"/>
  <c r="L100" i="30"/>
  <c r="H103" i="30"/>
  <c r="J106" i="30"/>
  <c r="F108" i="30"/>
  <c r="L109" i="30"/>
  <c r="J143" i="30"/>
  <c r="L148" i="30"/>
  <c r="L150" i="30"/>
  <c r="L152" i="30"/>
  <c r="F260" i="30"/>
  <c r="H274" i="30"/>
  <c r="F11" i="31"/>
  <c r="F55" i="31"/>
  <c r="H31" i="30"/>
  <c r="L32" i="30"/>
  <c r="H35" i="30"/>
  <c r="L36" i="30"/>
  <c r="F38" i="30"/>
  <c r="L39" i="30"/>
  <c r="H41" i="30"/>
  <c r="F145" i="30"/>
  <c r="N146" i="30"/>
  <c r="H253" i="30"/>
  <c r="J256" i="30"/>
  <c r="L279" i="30"/>
  <c r="L11" i="31"/>
  <c r="H38" i="31"/>
  <c r="F9" i="30"/>
  <c r="J10" i="30"/>
  <c r="N11" i="30"/>
  <c r="F13" i="30"/>
  <c r="J14" i="30"/>
  <c r="J17" i="30"/>
  <c r="F19" i="30"/>
  <c r="L20" i="30"/>
  <c r="J60" i="30"/>
  <c r="F98" i="30"/>
  <c r="J99" i="30"/>
  <c r="N100" i="30"/>
  <c r="F102" i="30"/>
  <c r="J103" i="30"/>
  <c r="F105" i="30"/>
  <c r="L106" i="30"/>
  <c r="H108" i="30"/>
  <c r="L143" i="30"/>
  <c r="H145" i="30"/>
  <c r="H261" i="30"/>
  <c r="J274" i="30"/>
  <c r="H85" i="31"/>
  <c r="J31" i="30"/>
  <c r="N32" i="30"/>
  <c r="F34" i="30"/>
  <c r="J35" i="30"/>
  <c r="N36" i="30"/>
  <c r="H38" i="30"/>
  <c r="J41" i="30"/>
  <c r="F43" i="30"/>
  <c r="F142" i="30"/>
  <c r="F147" i="30"/>
  <c r="F153" i="30"/>
  <c r="J253" i="30"/>
  <c r="L256" i="30"/>
  <c r="J13" i="31"/>
  <c r="J85" i="31"/>
  <c r="J41" i="31"/>
  <c r="H9" i="30"/>
  <c r="L10" i="30"/>
  <c r="H13" i="30"/>
  <c r="L14" i="30"/>
  <c r="F16" i="30"/>
  <c r="L17" i="30"/>
  <c r="H19" i="30"/>
  <c r="H98" i="30"/>
  <c r="L99" i="30"/>
  <c r="H102" i="30"/>
  <c r="L103" i="30"/>
  <c r="H105" i="30"/>
  <c r="J108" i="30"/>
  <c r="N143" i="30"/>
  <c r="J145" i="30"/>
  <c r="F149" i="30"/>
  <c r="F151" i="30"/>
  <c r="H153" i="30"/>
  <c r="L257" i="30"/>
  <c r="N13" i="31"/>
  <c r="L56" i="31"/>
  <c r="N58" i="31"/>
  <c r="L41" i="31"/>
  <c r="H55" i="31"/>
  <c r="N79" i="31"/>
  <c r="H83" i="31"/>
  <c r="N11" i="31"/>
  <c r="J14" i="31"/>
  <c r="F56" i="31"/>
  <c r="H62" i="31"/>
  <c r="N35" i="33"/>
  <c r="Q41" i="36"/>
  <c r="P41" i="36"/>
  <c r="L274" i="30"/>
  <c r="H278" i="30"/>
  <c r="L17" i="31"/>
  <c r="F21" i="31"/>
  <c r="L32" i="31"/>
  <c r="J35" i="31"/>
  <c r="J38" i="31"/>
  <c r="L84" i="31"/>
  <c r="H9" i="31"/>
  <c r="L14" i="31"/>
  <c r="J53" i="31"/>
  <c r="H56" i="31"/>
  <c r="F59" i="31"/>
  <c r="J62" i="31"/>
  <c r="J258" i="30"/>
  <c r="N276" i="30"/>
  <c r="J278" i="30"/>
  <c r="F283" i="30"/>
  <c r="N32" i="31"/>
  <c r="L35" i="31"/>
  <c r="F77" i="31"/>
  <c r="J9" i="31"/>
  <c r="F12" i="31"/>
  <c r="N14" i="31"/>
  <c r="H18" i="35"/>
  <c r="L278" i="30"/>
  <c r="F281" i="30"/>
  <c r="N9" i="31"/>
  <c r="J12" i="31"/>
  <c r="F15" i="31"/>
  <c r="L63" i="31"/>
  <c r="F81" i="31"/>
  <c r="J252" i="30"/>
  <c r="L260" i="30"/>
  <c r="J262" i="30"/>
  <c r="H10" i="31"/>
  <c r="L15" i="31"/>
  <c r="F19" i="31"/>
  <c r="L36" i="31"/>
  <c r="N53" i="31"/>
  <c r="N8" i="35"/>
  <c r="AB18" i="35"/>
  <c r="J10" i="31"/>
  <c r="F13" i="31"/>
  <c r="H19" i="31"/>
  <c r="AL33" i="35"/>
  <c r="AK33" i="35"/>
  <c r="L10" i="31"/>
  <c r="H13" i="31"/>
  <c r="F16" i="31"/>
  <c r="J19" i="31"/>
  <c r="N10" i="35"/>
  <c r="H150" i="30"/>
  <c r="J20" i="31"/>
  <c r="N14" i="33"/>
  <c r="N31" i="33"/>
  <c r="N78" i="33"/>
  <c r="N53" i="33"/>
  <c r="AV18" i="35"/>
  <c r="AU18" i="35"/>
  <c r="AT18" i="35"/>
  <c r="AS18" i="35"/>
  <c r="AR18" i="35"/>
  <c r="J49" i="36"/>
  <c r="I49" i="36"/>
  <c r="I6" i="37"/>
  <c r="J6" i="37"/>
  <c r="AB16" i="35"/>
  <c r="L9" i="31"/>
  <c r="H12" i="31"/>
  <c r="L13" i="31"/>
  <c r="J16" i="31"/>
  <c r="F18" i="31"/>
  <c r="L19" i="31"/>
  <c r="H21" i="31"/>
  <c r="AV10" i="35"/>
  <c r="AU10" i="35"/>
  <c r="AT10" i="35"/>
  <c r="AS10" i="35"/>
  <c r="AR10" i="35"/>
  <c r="H9" i="35"/>
  <c r="AB13" i="35"/>
  <c r="L16" i="31"/>
  <c r="H18" i="31"/>
  <c r="J21" i="31"/>
  <c r="N11" i="33"/>
  <c r="AL30" i="35"/>
  <c r="AK30" i="35"/>
  <c r="I37" i="35"/>
  <c r="H37" i="35"/>
  <c r="S7" i="39"/>
  <c r="R7" i="39"/>
  <c r="Q7" i="39"/>
  <c r="P7" i="39"/>
  <c r="T7" i="39"/>
  <c r="O7" i="39"/>
  <c r="AL31" i="35"/>
  <c r="AK31" i="35"/>
  <c r="H11" i="31"/>
  <c r="L12" i="31"/>
  <c r="H15" i="31"/>
  <c r="J18" i="31"/>
  <c r="F20" i="31"/>
  <c r="L21" i="31"/>
  <c r="V11" i="35"/>
  <c r="I39" i="35"/>
  <c r="H39" i="35"/>
  <c r="Q6" i="36"/>
  <c r="P6" i="36"/>
  <c r="Q42" i="37"/>
  <c r="P42" i="37"/>
  <c r="F10" i="31"/>
  <c r="J11" i="31"/>
  <c r="N12" i="31"/>
  <c r="F14" i="31"/>
  <c r="J15" i="31"/>
  <c r="F17" i="31"/>
  <c r="L18" i="31"/>
  <c r="H20" i="31"/>
  <c r="V14" i="35"/>
  <c r="AV13" i="35"/>
  <c r="AU13" i="35"/>
  <c r="AT13" i="35"/>
  <c r="AS13" i="35"/>
  <c r="AR13" i="35"/>
  <c r="J31" i="36"/>
  <c r="I31" i="36"/>
  <c r="P47" i="37"/>
  <c r="Q47" i="37"/>
  <c r="AJ12" i="35"/>
  <c r="AL12" i="35"/>
  <c r="AK12" i="35"/>
  <c r="AL8" i="35"/>
  <c r="AJ8" i="35"/>
  <c r="AK8" i="35"/>
  <c r="H12" i="35"/>
  <c r="I7" i="36"/>
  <c r="J7" i="36"/>
  <c r="H15" i="35"/>
  <c r="I33" i="36"/>
  <c r="J33" i="36"/>
  <c r="Q8" i="37"/>
  <c r="P8" i="37"/>
  <c r="J24" i="37"/>
  <c r="I24" i="37"/>
  <c r="Q49" i="37"/>
  <c r="P49" i="37"/>
  <c r="AV9" i="35"/>
  <c r="AU9" i="35"/>
  <c r="AR9" i="35"/>
  <c r="AT9" i="35"/>
  <c r="AS9" i="35"/>
  <c r="AV12" i="35"/>
  <c r="AU12" i="35"/>
  <c r="AT12" i="35"/>
  <c r="AR12" i="35"/>
  <c r="AS12" i="35"/>
  <c r="AL16" i="35"/>
  <c r="AK16" i="35"/>
  <c r="AJ16" i="35"/>
  <c r="J32" i="36"/>
  <c r="I32" i="36"/>
  <c r="J8" i="36"/>
  <c r="I8" i="36"/>
  <c r="J35" i="36"/>
  <c r="I35" i="36"/>
  <c r="AK37" i="35"/>
  <c r="AL37" i="35"/>
  <c r="Q12" i="36"/>
  <c r="P12" i="36"/>
  <c r="P9" i="37"/>
  <c r="Q9" i="37"/>
  <c r="AB10" i="35"/>
  <c r="AL11" i="35"/>
  <c r="AK11" i="35"/>
  <c r="AJ11" i="35"/>
  <c r="H13" i="35"/>
  <c r="AL17" i="35"/>
  <c r="AK17" i="35"/>
  <c r="AJ17" i="35"/>
  <c r="AK36" i="35"/>
  <c r="AL36" i="35"/>
  <c r="I34" i="35"/>
  <c r="H34" i="35"/>
  <c r="I36" i="35"/>
  <c r="H36" i="35"/>
  <c r="P44" i="36"/>
  <c r="Q44" i="36"/>
  <c r="AL14" i="35"/>
  <c r="AK14" i="35"/>
  <c r="AJ14" i="35"/>
  <c r="J21" i="36"/>
  <c r="I21" i="36"/>
  <c r="J13" i="37"/>
  <c r="I13" i="37"/>
  <c r="AB9" i="35"/>
  <c r="I33" i="35"/>
  <c r="H33" i="35"/>
  <c r="AL10" i="35"/>
  <c r="AK10" i="35"/>
  <c r="AJ10" i="35"/>
  <c r="I30" i="35"/>
  <c r="H30" i="35"/>
  <c r="P9" i="36"/>
  <c r="Q9" i="36"/>
  <c r="Q35" i="37"/>
  <c r="P35" i="37"/>
  <c r="N8" i="40"/>
  <c r="L8" i="40"/>
  <c r="N9" i="33"/>
  <c r="N13" i="33"/>
  <c r="AK9" i="35"/>
  <c r="AJ9" i="35"/>
  <c r="AL9" i="35"/>
  <c r="Q10" i="36"/>
  <c r="P10" i="36"/>
  <c r="J17" i="37"/>
  <c r="I17" i="37"/>
  <c r="AL40" i="35"/>
  <c r="AK40" i="35"/>
  <c r="AK34" i="35"/>
  <c r="AL34" i="35"/>
  <c r="I40" i="35"/>
  <c r="H40" i="35"/>
  <c r="Q13" i="37"/>
  <c r="P13" i="37"/>
  <c r="H124" i="39"/>
  <c r="G124" i="39"/>
  <c r="N9" i="43"/>
  <c r="L9" i="43"/>
  <c r="M9" i="43"/>
  <c r="J14" i="36"/>
  <c r="I14" i="36"/>
  <c r="J36" i="36"/>
  <c r="I36" i="36"/>
  <c r="J7" i="37"/>
  <c r="I7" i="37"/>
  <c r="J30" i="37"/>
  <c r="I30" i="37"/>
  <c r="T9" i="39"/>
  <c r="S9" i="39"/>
  <c r="R9" i="39"/>
  <c r="Q9" i="39"/>
  <c r="O9" i="39"/>
  <c r="N11" i="39"/>
  <c r="P9" i="39"/>
  <c r="I31" i="35"/>
  <c r="H31" i="35"/>
  <c r="P14" i="37"/>
  <c r="Q14" i="37"/>
  <c r="Q25" i="37"/>
  <c r="P25" i="37"/>
  <c r="O124" i="39"/>
  <c r="N124" i="39"/>
  <c r="M124" i="39"/>
  <c r="L124" i="39"/>
  <c r="AL13" i="35"/>
  <c r="AK13" i="35"/>
  <c r="AJ13" i="35"/>
  <c r="J44" i="37"/>
  <c r="I44" i="37"/>
  <c r="T9" i="41"/>
  <c r="S9" i="41"/>
  <c r="R9" i="41"/>
  <c r="Q9" i="41"/>
  <c r="P9" i="41"/>
  <c r="O127" i="39"/>
  <c r="M127" i="39"/>
  <c r="K127" i="39"/>
  <c r="J129" i="39"/>
  <c r="N127" i="39"/>
  <c r="L127" i="39"/>
  <c r="I38" i="35"/>
  <c r="H38" i="35"/>
  <c r="Q31" i="37"/>
  <c r="P31" i="37"/>
  <c r="N128" i="39"/>
  <c r="O128" i="39"/>
  <c r="L128" i="39"/>
  <c r="M128" i="39"/>
  <c r="K128" i="39"/>
  <c r="J10" i="41"/>
  <c r="H10" i="41"/>
  <c r="I10" i="41"/>
  <c r="I35" i="35"/>
  <c r="H35" i="35"/>
  <c r="J13" i="44"/>
  <c r="I13" i="44"/>
  <c r="H13" i="44"/>
  <c r="I32" i="35"/>
  <c r="H32" i="35"/>
  <c r="Q30" i="37"/>
  <c r="P30" i="37"/>
  <c r="I12" i="37"/>
  <c r="J12" i="37"/>
  <c r="Q21" i="37"/>
  <c r="P21" i="37"/>
  <c r="Q37" i="37"/>
  <c r="P37" i="37"/>
  <c r="I6" i="41"/>
  <c r="J6" i="41"/>
  <c r="H6" i="41"/>
  <c r="T11" i="41"/>
  <c r="S11" i="41"/>
  <c r="Q11" i="41"/>
  <c r="R11" i="41"/>
  <c r="P11" i="41"/>
  <c r="I136" i="42"/>
  <c r="H136" i="42"/>
  <c r="G136" i="42"/>
  <c r="Q24" i="37"/>
  <c r="P24" i="37"/>
  <c r="Q39" i="37"/>
  <c r="P39" i="37"/>
  <c r="Q50" i="37"/>
  <c r="P50" i="37"/>
  <c r="I136" i="40"/>
  <c r="H136" i="40"/>
  <c r="G136" i="40"/>
  <c r="N6" i="41"/>
  <c r="M6" i="41"/>
  <c r="L6" i="41"/>
  <c r="O138" i="41"/>
  <c r="N138" i="41"/>
  <c r="M138" i="41"/>
  <c r="L138" i="41"/>
  <c r="K138" i="41"/>
  <c r="Q41" i="37"/>
  <c r="P41" i="37"/>
  <c r="F7" i="43"/>
  <c r="Q7" i="37"/>
  <c r="P7" i="37"/>
  <c r="I6" i="40"/>
  <c r="J6" i="40"/>
  <c r="H6" i="40"/>
  <c r="O137" i="40"/>
  <c r="M137" i="40"/>
  <c r="K137" i="40"/>
  <c r="N137" i="40"/>
  <c r="L137" i="40"/>
  <c r="N7" i="41"/>
  <c r="L7" i="41"/>
  <c r="M7" i="41"/>
  <c r="Q6" i="37"/>
  <c r="P6" i="37"/>
  <c r="T10" i="39"/>
  <c r="R10" i="39"/>
  <c r="S10" i="39"/>
  <c r="Q10" i="39"/>
  <c r="P10" i="39"/>
  <c r="O10" i="39"/>
  <c r="R7" i="41"/>
  <c r="Q7" i="41"/>
  <c r="P7" i="41"/>
  <c r="AA19" i="41"/>
  <c r="T7" i="41"/>
  <c r="S7" i="41"/>
  <c r="F6" i="40"/>
  <c r="T8" i="39"/>
  <c r="S8" i="39"/>
  <c r="R8" i="39"/>
  <c r="Q8" i="39"/>
  <c r="P8" i="39"/>
  <c r="O8" i="39"/>
  <c r="D129" i="39"/>
  <c r="E129" i="39"/>
  <c r="J7" i="40"/>
  <c r="I7" i="40"/>
  <c r="H7" i="40"/>
  <c r="C16" i="43"/>
  <c r="T9" i="45"/>
  <c r="S9" i="45"/>
  <c r="R9" i="45"/>
  <c r="Q9" i="45"/>
  <c r="P9" i="45"/>
  <c r="K6" i="39"/>
  <c r="L6" i="39"/>
  <c r="I127" i="39"/>
  <c r="H127" i="39"/>
  <c r="G127" i="39"/>
  <c r="F129" i="39"/>
  <c r="G16" i="43"/>
  <c r="J6" i="43"/>
  <c r="I6" i="43"/>
  <c r="H6" i="43"/>
  <c r="F7" i="44"/>
  <c r="P15" i="37"/>
  <c r="Q15" i="37"/>
  <c r="C11" i="39"/>
  <c r="J8" i="44"/>
  <c r="I8" i="44"/>
  <c r="H8" i="44"/>
  <c r="H7" i="39"/>
  <c r="G7" i="39"/>
  <c r="I7" i="39"/>
  <c r="N8" i="43"/>
  <c r="L8" i="43"/>
  <c r="M8" i="43"/>
  <c r="O134" i="40"/>
  <c r="N134" i="40"/>
  <c r="M134" i="40"/>
  <c r="K134" i="40"/>
  <c r="L134" i="40"/>
  <c r="E16" i="43"/>
  <c r="F16" i="43" s="1"/>
  <c r="F6" i="43"/>
  <c r="R15" i="43"/>
  <c r="Q15" i="43"/>
  <c r="P15" i="43"/>
  <c r="S15" i="43"/>
  <c r="T15" i="43"/>
  <c r="F8" i="44"/>
  <c r="T11" i="44"/>
  <c r="S11" i="44"/>
  <c r="R11" i="44"/>
  <c r="Q11" i="44"/>
  <c r="P11" i="44"/>
  <c r="O139" i="45"/>
  <c r="N139" i="45"/>
  <c r="M139" i="45"/>
  <c r="L139" i="45"/>
  <c r="G142" i="43"/>
  <c r="I142" i="43"/>
  <c r="H142" i="43"/>
  <c r="F15" i="45"/>
  <c r="N7" i="40"/>
  <c r="M7" i="40"/>
  <c r="L7" i="40"/>
  <c r="H134" i="40"/>
  <c r="G134" i="40"/>
  <c r="I134" i="40"/>
  <c r="F9" i="41"/>
  <c r="T10" i="41"/>
  <c r="AA20" i="41" s="1"/>
  <c r="S10" i="41"/>
  <c r="R10" i="41"/>
  <c r="Q10" i="41"/>
  <c r="P10" i="41"/>
  <c r="N137" i="42"/>
  <c r="L137" i="42"/>
  <c r="O137" i="42"/>
  <c r="M137" i="42"/>
  <c r="K137" i="42"/>
  <c r="I138" i="40"/>
  <c r="H138" i="40"/>
  <c r="G138" i="40"/>
  <c r="N6" i="42"/>
  <c r="M6" i="42"/>
  <c r="L6" i="42"/>
  <c r="R9" i="43"/>
  <c r="T9" i="43"/>
  <c r="S9" i="43"/>
  <c r="Q9" i="43"/>
  <c r="P9" i="43"/>
  <c r="J13" i="43"/>
  <c r="I13" i="43"/>
  <c r="H13" i="43"/>
  <c r="O138" i="43"/>
  <c r="N138" i="43"/>
  <c r="M138" i="43"/>
  <c r="L138" i="43"/>
  <c r="P8" i="44"/>
  <c r="T8" i="44"/>
  <c r="S8" i="44"/>
  <c r="R8" i="44"/>
  <c r="Q8" i="44"/>
  <c r="N6" i="40"/>
  <c r="M6" i="40"/>
  <c r="L6" i="40"/>
  <c r="F11" i="40"/>
  <c r="N12" i="40"/>
  <c r="M12" i="40"/>
  <c r="L12" i="40"/>
  <c r="L10" i="41"/>
  <c r="N10" i="41"/>
  <c r="M10" i="41"/>
  <c r="N12" i="41"/>
  <c r="M12" i="41"/>
  <c r="L12" i="41"/>
  <c r="F11" i="42"/>
  <c r="R6" i="39"/>
  <c r="P6" i="39"/>
  <c r="O6" i="39"/>
  <c r="Q6" i="39"/>
  <c r="H126" i="39"/>
  <c r="I126" i="39"/>
  <c r="G126" i="39"/>
  <c r="F8" i="41"/>
  <c r="O134" i="42"/>
  <c r="N134" i="42"/>
  <c r="M134" i="42"/>
  <c r="L134" i="42"/>
  <c r="K134" i="42"/>
  <c r="N13" i="44"/>
  <c r="M13" i="44"/>
  <c r="L13" i="44"/>
  <c r="N10" i="45"/>
  <c r="M10" i="45"/>
  <c r="L10" i="45"/>
  <c r="F10" i="40"/>
  <c r="G10" i="40" s="1"/>
  <c r="H10" i="40" s="1"/>
  <c r="I10" i="40" s="1"/>
  <c r="J10" i="40" s="1"/>
  <c r="K10" i="40" s="1"/>
  <c r="L10" i="40" s="1"/>
  <c r="M10" i="40" s="1"/>
  <c r="N10" i="40" s="1"/>
  <c r="O10" i="40" s="1"/>
  <c r="P10" i="40" s="1"/>
  <c r="Q10" i="40" s="1"/>
  <c r="R10" i="40" s="1"/>
  <c r="S10" i="40" s="1"/>
  <c r="T10" i="40" s="1"/>
  <c r="J7" i="43"/>
  <c r="I7" i="43"/>
  <c r="H7" i="43"/>
  <c r="N13" i="43"/>
  <c r="M13" i="43"/>
  <c r="L13" i="43"/>
  <c r="I141" i="44"/>
  <c r="H141" i="44"/>
  <c r="K141" i="44" s="1"/>
  <c r="G141" i="44"/>
  <c r="N138" i="40"/>
  <c r="O138" i="40"/>
  <c r="M138" i="40"/>
  <c r="L138" i="40"/>
  <c r="K138" i="40"/>
  <c r="P10" i="43"/>
  <c r="T10" i="43"/>
  <c r="S10" i="43"/>
  <c r="R10" i="43"/>
  <c r="Q10" i="43"/>
  <c r="J12" i="45"/>
  <c r="I12" i="45"/>
  <c r="H12" i="45"/>
  <c r="T6" i="40"/>
  <c r="S6" i="40"/>
  <c r="Q6" i="40"/>
  <c r="R6" i="40"/>
  <c r="P6" i="40"/>
  <c r="F9" i="40"/>
  <c r="S12" i="40"/>
  <c r="R12" i="40"/>
  <c r="Q12" i="40"/>
  <c r="P12" i="40"/>
  <c r="T12" i="40"/>
  <c r="I135" i="40"/>
  <c r="G135" i="40"/>
  <c r="H135" i="40"/>
  <c r="F7" i="41"/>
  <c r="F11" i="41"/>
  <c r="T12" i="41"/>
  <c r="R12" i="41"/>
  <c r="Q12" i="41"/>
  <c r="S12" i="41"/>
  <c r="P12" i="41"/>
  <c r="F12" i="42"/>
  <c r="E11" i="39"/>
  <c r="I128" i="39"/>
  <c r="H128" i="39"/>
  <c r="G128" i="39"/>
  <c r="N11" i="41"/>
  <c r="M11" i="41"/>
  <c r="L11" i="41"/>
  <c r="H12" i="42"/>
  <c r="J12" i="42"/>
  <c r="I12" i="42"/>
  <c r="N14" i="43"/>
  <c r="M14" i="43"/>
  <c r="L14" i="43"/>
  <c r="I140" i="43"/>
  <c r="H140" i="43"/>
  <c r="G140" i="43"/>
  <c r="K16" i="44"/>
  <c r="N6" i="44"/>
  <c r="M6" i="44"/>
  <c r="L6" i="44"/>
  <c r="F15" i="44"/>
  <c r="O141" i="45"/>
  <c r="N141" i="45"/>
  <c r="M141" i="45"/>
  <c r="L141" i="45"/>
  <c r="D15" i="46"/>
  <c r="I125" i="39"/>
  <c r="G125" i="39"/>
  <c r="H125" i="39"/>
  <c r="F8" i="40"/>
  <c r="M9" i="40"/>
  <c r="I9" i="40"/>
  <c r="H9" i="40"/>
  <c r="J9" i="40"/>
  <c r="Q11" i="40"/>
  <c r="P11" i="40"/>
  <c r="S11" i="40"/>
  <c r="T11" i="40"/>
  <c r="R11" i="40"/>
  <c r="H137" i="40"/>
  <c r="G137" i="40"/>
  <c r="I137" i="40"/>
  <c r="H137" i="41"/>
  <c r="G137" i="41"/>
  <c r="I137" i="41"/>
  <c r="E146" i="44"/>
  <c r="I142" i="44"/>
  <c r="H142" i="44"/>
  <c r="K142" i="44" s="1"/>
  <c r="G142" i="44"/>
  <c r="K10" i="39"/>
  <c r="M10" i="39"/>
  <c r="L10" i="39"/>
  <c r="F6" i="41"/>
  <c r="N15" i="43"/>
  <c r="M15" i="43"/>
  <c r="L15" i="43"/>
  <c r="L11" i="44"/>
  <c r="M11" i="44"/>
  <c r="N11" i="44"/>
  <c r="J15" i="44"/>
  <c r="I15" i="44"/>
  <c r="H15" i="44"/>
  <c r="I136" i="44"/>
  <c r="F146" i="44"/>
  <c r="G136" i="44"/>
  <c r="H136" i="44"/>
  <c r="K136" i="44" s="1"/>
  <c r="F7" i="45"/>
  <c r="N12" i="45"/>
  <c r="M12" i="45"/>
  <c r="L12" i="45"/>
  <c r="J11" i="39"/>
  <c r="K9" i="39"/>
  <c r="M9" i="39"/>
  <c r="L9" i="39"/>
  <c r="F7" i="40"/>
  <c r="M8" i="40"/>
  <c r="J8" i="40"/>
  <c r="H8" i="40"/>
  <c r="I8" i="40"/>
  <c r="O136" i="43"/>
  <c r="M136" i="43"/>
  <c r="J146" i="43"/>
  <c r="N136" i="43"/>
  <c r="L136" i="43"/>
  <c r="M140" i="43"/>
  <c r="L140" i="43"/>
  <c r="O140" i="43"/>
  <c r="N140" i="43"/>
  <c r="O144" i="44"/>
  <c r="N144" i="44"/>
  <c r="M144" i="44"/>
  <c r="L144" i="44"/>
  <c r="P7" i="45"/>
  <c r="T7" i="45"/>
  <c r="S7" i="45"/>
  <c r="R7" i="45"/>
  <c r="Q7" i="45"/>
  <c r="F10" i="42"/>
  <c r="J11" i="42"/>
  <c r="H11" i="42"/>
  <c r="I11" i="42"/>
  <c r="T14" i="43"/>
  <c r="S14" i="43"/>
  <c r="R14" i="43"/>
  <c r="P14" i="43"/>
  <c r="Q14" i="43"/>
  <c r="O142" i="43"/>
  <c r="N142" i="43"/>
  <c r="M142" i="43"/>
  <c r="L142" i="43"/>
  <c r="L10" i="44"/>
  <c r="N10" i="44"/>
  <c r="M10" i="44"/>
  <c r="I137" i="44"/>
  <c r="H137" i="44"/>
  <c r="K137" i="44" s="1"/>
  <c r="G137" i="44"/>
  <c r="C16" i="45"/>
  <c r="F9" i="42"/>
  <c r="N12" i="42"/>
  <c r="M12" i="42"/>
  <c r="L12" i="42"/>
  <c r="N7" i="43"/>
  <c r="M7" i="43"/>
  <c r="L7" i="43"/>
  <c r="P8" i="43"/>
  <c r="T8" i="43"/>
  <c r="S8" i="43"/>
  <c r="R8" i="43"/>
  <c r="Q8" i="43"/>
  <c r="M144" i="43"/>
  <c r="O144" i="43"/>
  <c r="N144" i="43"/>
  <c r="L144" i="43"/>
  <c r="J7" i="44"/>
  <c r="I7" i="44"/>
  <c r="H7" i="44"/>
  <c r="F12" i="44"/>
  <c r="P15" i="44"/>
  <c r="R15" i="44"/>
  <c r="Q15" i="44"/>
  <c r="T15" i="44"/>
  <c r="S15" i="44"/>
  <c r="I145" i="44"/>
  <c r="H145" i="44"/>
  <c r="K145" i="44" s="1"/>
  <c r="G145" i="44"/>
  <c r="D16" i="45"/>
  <c r="J13" i="45"/>
  <c r="I13" i="45"/>
  <c r="H13" i="45"/>
  <c r="D8" i="47"/>
  <c r="F10" i="41"/>
  <c r="I136" i="41"/>
  <c r="H136" i="41"/>
  <c r="G136" i="41"/>
  <c r="O137" i="41"/>
  <c r="N137" i="41"/>
  <c r="M137" i="41"/>
  <c r="L137" i="41"/>
  <c r="K137" i="41"/>
  <c r="J10" i="42"/>
  <c r="H10" i="42"/>
  <c r="I10" i="42"/>
  <c r="N11" i="42"/>
  <c r="M11" i="42"/>
  <c r="L11" i="42"/>
  <c r="M136" i="42"/>
  <c r="K136" i="42"/>
  <c r="O136" i="42"/>
  <c r="N136" i="42"/>
  <c r="L136" i="42"/>
  <c r="L145" i="43"/>
  <c r="N145" i="43"/>
  <c r="M145" i="43"/>
  <c r="O145" i="43"/>
  <c r="F14" i="44"/>
  <c r="O142" i="44"/>
  <c r="N142" i="44"/>
  <c r="M142" i="44"/>
  <c r="L142" i="44"/>
  <c r="E16" i="45"/>
  <c r="F16" i="45" s="1"/>
  <c r="F6" i="45"/>
  <c r="T8" i="45"/>
  <c r="S8" i="45"/>
  <c r="R8" i="45"/>
  <c r="Q8" i="45"/>
  <c r="P8" i="45"/>
  <c r="T10" i="45"/>
  <c r="S10" i="45"/>
  <c r="R10" i="45"/>
  <c r="Q10" i="45"/>
  <c r="P10" i="45"/>
  <c r="C146" i="45"/>
  <c r="F7" i="42"/>
  <c r="J9" i="42"/>
  <c r="M9" i="42"/>
  <c r="I9" i="42"/>
  <c r="H9" i="42"/>
  <c r="I138" i="42"/>
  <c r="H138" i="42"/>
  <c r="G138" i="42"/>
  <c r="T13" i="43"/>
  <c r="R13" i="43"/>
  <c r="S13" i="43"/>
  <c r="Q13" i="43"/>
  <c r="P13" i="43"/>
  <c r="O137" i="43"/>
  <c r="N137" i="43"/>
  <c r="M137" i="43"/>
  <c r="L137" i="43"/>
  <c r="C16" i="44"/>
  <c r="T10" i="44"/>
  <c r="S10" i="44"/>
  <c r="R10" i="44"/>
  <c r="Q10" i="44"/>
  <c r="P10" i="44"/>
  <c r="N141" i="44"/>
  <c r="L141" i="44"/>
  <c r="O141" i="44"/>
  <c r="M141" i="44"/>
  <c r="H11" i="45"/>
  <c r="J11" i="45"/>
  <c r="I11" i="45"/>
  <c r="D146" i="45"/>
  <c r="I143" i="45"/>
  <c r="H143" i="45"/>
  <c r="G143" i="45"/>
  <c r="D16" i="47"/>
  <c r="F6" i="42"/>
  <c r="M8" i="42"/>
  <c r="J8" i="42"/>
  <c r="I8" i="42"/>
  <c r="H8" i="42"/>
  <c r="R7" i="43"/>
  <c r="P7" i="43"/>
  <c r="T7" i="43"/>
  <c r="S7" i="43"/>
  <c r="Q7" i="43"/>
  <c r="E16" i="44"/>
  <c r="F16" i="44" s="1"/>
  <c r="F6" i="44"/>
  <c r="P7" i="44"/>
  <c r="R7" i="44"/>
  <c r="T7" i="44"/>
  <c r="S7" i="44"/>
  <c r="Q7" i="44"/>
  <c r="N12" i="44"/>
  <c r="M12" i="44"/>
  <c r="L12" i="44"/>
  <c r="J14" i="44"/>
  <c r="I14" i="44"/>
  <c r="H14" i="44"/>
  <c r="O137" i="44"/>
  <c r="N137" i="44"/>
  <c r="M137" i="44"/>
  <c r="L137" i="44"/>
  <c r="G16" i="45"/>
  <c r="J6" i="45"/>
  <c r="I6" i="45"/>
  <c r="H6" i="45"/>
  <c r="H6" i="39"/>
  <c r="G6" i="39"/>
  <c r="H8" i="39"/>
  <c r="G8" i="39"/>
  <c r="I8" i="39"/>
  <c r="D11" i="39"/>
  <c r="J11" i="40"/>
  <c r="I11" i="40"/>
  <c r="H11" i="40"/>
  <c r="F12" i="40"/>
  <c r="N136" i="40"/>
  <c r="M136" i="40"/>
  <c r="L136" i="40"/>
  <c r="O136" i="40"/>
  <c r="K136" i="40"/>
  <c r="I135" i="41"/>
  <c r="H135" i="41"/>
  <c r="G135" i="41"/>
  <c r="T12" i="42"/>
  <c r="S12" i="42"/>
  <c r="R12" i="42"/>
  <c r="Q12" i="42"/>
  <c r="P12" i="42"/>
  <c r="F9" i="44"/>
  <c r="O140" i="44"/>
  <c r="M140" i="44"/>
  <c r="L140" i="44"/>
  <c r="N140" i="44"/>
  <c r="J11" i="41"/>
  <c r="I11" i="41"/>
  <c r="H11" i="41"/>
  <c r="F12" i="41"/>
  <c r="N136" i="41"/>
  <c r="M136" i="41"/>
  <c r="L136" i="41"/>
  <c r="K136" i="41"/>
  <c r="O136" i="41"/>
  <c r="J6" i="42"/>
  <c r="I6" i="42"/>
  <c r="H6" i="42"/>
  <c r="R11" i="42"/>
  <c r="Q11" i="42"/>
  <c r="P11" i="42"/>
  <c r="T11" i="42"/>
  <c r="S11" i="42"/>
  <c r="T6" i="43"/>
  <c r="O16" i="43"/>
  <c r="R6" i="43"/>
  <c r="P6" i="43"/>
  <c r="S6" i="43"/>
  <c r="Q6" i="43"/>
  <c r="T12" i="43"/>
  <c r="R12" i="43"/>
  <c r="Q12" i="43"/>
  <c r="P12" i="43"/>
  <c r="S12" i="43"/>
  <c r="J6" i="44"/>
  <c r="G16" i="44"/>
  <c r="I6" i="44"/>
  <c r="H6" i="44"/>
  <c r="L9" i="44"/>
  <c r="N9" i="44"/>
  <c r="M9" i="44"/>
  <c r="O143" i="44"/>
  <c r="N143" i="44"/>
  <c r="M143" i="44"/>
  <c r="L143" i="44"/>
  <c r="N11" i="45"/>
  <c r="M11" i="45"/>
  <c r="L11" i="45"/>
  <c r="F14" i="45"/>
  <c r="I137" i="45"/>
  <c r="H137" i="45"/>
  <c r="G137" i="45"/>
  <c r="D9" i="48"/>
  <c r="L7" i="39"/>
  <c r="M7" i="39"/>
  <c r="K7" i="39"/>
  <c r="H9" i="39"/>
  <c r="I9" i="39"/>
  <c r="G9" i="39"/>
  <c r="F11" i="39"/>
  <c r="I12" i="40"/>
  <c r="H12" i="40"/>
  <c r="J12" i="40"/>
  <c r="O138" i="42"/>
  <c r="L138" i="42"/>
  <c r="K138" i="42"/>
  <c r="N138" i="42"/>
  <c r="M138" i="42"/>
  <c r="L9" i="45"/>
  <c r="N9" i="45"/>
  <c r="M9" i="45"/>
  <c r="O144" i="45"/>
  <c r="N144" i="45"/>
  <c r="M144" i="45"/>
  <c r="L144" i="45"/>
  <c r="K135" i="40"/>
  <c r="N135" i="40"/>
  <c r="M135" i="40"/>
  <c r="L135" i="40"/>
  <c r="O135" i="40"/>
  <c r="H12" i="41"/>
  <c r="J12" i="41"/>
  <c r="I12" i="41"/>
  <c r="O141" i="43"/>
  <c r="N141" i="43"/>
  <c r="L141" i="43"/>
  <c r="M141" i="43"/>
  <c r="P9" i="44"/>
  <c r="T9" i="44"/>
  <c r="S9" i="44"/>
  <c r="R9" i="44"/>
  <c r="Q9" i="44"/>
  <c r="H11" i="44"/>
  <c r="J11" i="44"/>
  <c r="I11" i="44"/>
  <c r="T12" i="44"/>
  <c r="S12" i="44"/>
  <c r="R12" i="44"/>
  <c r="Q12" i="44"/>
  <c r="P12" i="44"/>
  <c r="N14" i="44"/>
  <c r="M14" i="44"/>
  <c r="L14" i="44"/>
  <c r="J14" i="45"/>
  <c r="I14" i="45"/>
  <c r="H14" i="45"/>
  <c r="D17" i="48"/>
  <c r="M8" i="39"/>
  <c r="L8" i="39"/>
  <c r="K8" i="39"/>
  <c r="I10" i="39"/>
  <c r="H10" i="39"/>
  <c r="G10" i="39"/>
  <c r="N11" i="40"/>
  <c r="M11" i="40"/>
  <c r="L11" i="40"/>
  <c r="O135" i="41"/>
  <c r="L135" i="41"/>
  <c r="N135" i="41"/>
  <c r="M135" i="41"/>
  <c r="K135" i="41"/>
  <c r="H138" i="41"/>
  <c r="I138" i="41"/>
  <c r="G138" i="41"/>
  <c r="H137" i="42"/>
  <c r="G137" i="42"/>
  <c r="I137" i="42"/>
  <c r="O138" i="44"/>
  <c r="N138" i="44"/>
  <c r="M138" i="44"/>
  <c r="L138" i="44"/>
  <c r="F12" i="45"/>
  <c r="I145" i="45"/>
  <c r="H145" i="45"/>
  <c r="G145" i="45"/>
  <c r="H12" i="44"/>
  <c r="J12" i="44"/>
  <c r="I12" i="44"/>
  <c r="F13" i="44"/>
  <c r="G138" i="44"/>
  <c r="I138" i="44"/>
  <c r="H138" i="44"/>
  <c r="K138" i="44" s="1"/>
  <c r="O16" i="45"/>
  <c r="R6" i="45"/>
  <c r="P6" i="45"/>
  <c r="T6" i="45"/>
  <c r="S6" i="45"/>
  <c r="Q6" i="45"/>
  <c r="N8" i="45"/>
  <c r="L8" i="45"/>
  <c r="M8" i="45"/>
  <c r="J10" i="45"/>
  <c r="H10" i="45"/>
  <c r="I10" i="45"/>
  <c r="F11" i="45"/>
  <c r="S14" i="45"/>
  <c r="R14" i="45"/>
  <c r="P14" i="45"/>
  <c r="Q14" i="45"/>
  <c r="T14" i="45"/>
  <c r="O143" i="43"/>
  <c r="N143" i="43"/>
  <c r="M143" i="43"/>
  <c r="L143" i="43"/>
  <c r="D16" i="44"/>
  <c r="L139" i="44"/>
  <c r="O139" i="44"/>
  <c r="N139" i="44"/>
  <c r="M139" i="44"/>
  <c r="H143" i="44"/>
  <c r="K143" i="44" s="1"/>
  <c r="I143" i="44"/>
  <c r="G143" i="44"/>
  <c r="I139" i="45"/>
  <c r="H139" i="45"/>
  <c r="G139" i="45"/>
  <c r="D13" i="46"/>
  <c r="D21" i="46"/>
  <c r="D14" i="47"/>
  <c r="D15" i="48"/>
  <c r="Q15" i="45"/>
  <c r="P15" i="45"/>
  <c r="T15" i="45"/>
  <c r="S15" i="45"/>
  <c r="R15" i="45"/>
  <c r="L140" i="45"/>
  <c r="O140" i="45"/>
  <c r="N140" i="45"/>
  <c r="M140" i="45"/>
  <c r="H144" i="45"/>
  <c r="G144" i="45"/>
  <c r="I144" i="45"/>
  <c r="O145" i="45"/>
  <c r="L145" i="45"/>
  <c r="N145" i="45"/>
  <c r="M145" i="45"/>
  <c r="D14" i="46"/>
  <c r="D15" i="47"/>
  <c r="D8" i="48"/>
  <c r="D16" i="48"/>
  <c r="F13" i="45"/>
  <c r="I138" i="45"/>
  <c r="H138" i="45"/>
  <c r="G138" i="45"/>
  <c r="D8" i="46"/>
  <c r="D16" i="46"/>
  <c r="D9" i="47"/>
  <c r="D17" i="47"/>
  <c r="D10" i="48"/>
  <c r="D18" i="48"/>
  <c r="O138" i="45"/>
  <c r="N138" i="45"/>
  <c r="M138" i="45"/>
  <c r="L138" i="45"/>
  <c r="I142" i="45"/>
  <c r="H142" i="45"/>
  <c r="G142" i="45"/>
  <c r="H135" i="42"/>
  <c r="I135" i="42"/>
  <c r="G135" i="42"/>
  <c r="E146" i="45"/>
  <c r="D9" i="46"/>
  <c r="D17" i="46"/>
  <c r="D10" i="47"/>
  <c r="D18" i="47"/>
  <c r="D11" i="48"/>
  <c r="D19" i="48"/>
  <c r="N7" i="44"/>
  <c r="M7" i="44"/>
  <c r="L7" i="44"/>
  <c r="J9" i="44"/>
  <c r="I9" i="44"/>
  <c r="H9" i="44"/>
  <c r="F10" i="44"/>
  <c r="T13" i="44"/>
  <c r="R13" i="44"/>
  <c r="Q13" i="44"/>
  <c r="P13" i="44"/>
  <c r="S13" i="44"/>
  <c r="N15" i="44"/>
  <c r="M15" i="44"/>
  <c r="L15" i="44"/>
  <c r="O136" i="44"/>
  <c r="M136" i="44"/>
  <c r="J146" i="44"/>
  <c r="L136" i="44"/>
  <c r="N136" i="44"/>
  <c r="I140" i="44"/>
  <c r="H140" i="44"/>
  <c r="K140" i="44" s="1"/>
  <c r="G140" i="44"/>
  <c r="J7" i="45"/>
  <c r="I7" i="45"/>
  <c r="H7" i="45"/>
  <c r="F8" i="45"/>
  <c r="T11" i="45"/>
  <c r="S11" i="45"/>
  <c r="R11" i="45"/>
  <c r="Q11" i="45"/>
  <c r="P11" i="45"/>
  <c r="N13" i="45"/>
  <c r="M13" i="45"/>
  <c r="L13" i="45"/>
  <c r="J15" i="45"/>
  <c r="I15" i="45"/>
  <c r="H15" i="45"/>
  <c r="D10" i="46"/>
  <c r="D18" i="46"/>
  <c r="D11" i="47"/>
  <c r="D19" i="47"/>
  <c r="D12" i="48"/>
  <c r="D20" i="48"/>
  <c r="R6" i="44"/>
  <c r="P6" i="44"/>
  <c r="T6" i="44"/>
  <c r="O16" i="44"/>
  <c r="S6" i="44"/>
  <c r="Q6" i="44"/>
  <c r="N8" i="44"/>
  <c r="L8" i="44"/>
  <c r="M8" i="44"/>
  <c r="J10" i="44"/>
  <c r="H10" i="44"/>
  <c r="I10" i="44"/>
  <c r="F11" i="44"/>
  <c r="R14" i="44"/>
  <c r="P14" i="44"/>
  <c r="T14" i="44"/>
  <c r="S14" i="44"/>
  <c r="Q14" i="44"/>
  <c r="N6" i="45"/>
  <c r="M6" i="45"/>
  <c r="L6" i="45"/>
  <c r="K16" i="45"/>
  <c r="J8" i="45"/>
  <c r="I8" i="45"/>
  <c r="H8" i="45"/>
  <c r="F9" i="45"/>
  <c r="R12" i="45"/>
  <c r="Q12" i="45"/>
  <c r="P12" i="45"/>
  <c r="T12" i="45"/>
  <c r="S12" i="45"/>
  <c r="N14" i="45"/>
  <c r="M14" i="45"/>
  <c r="L14" i="45"/>
  <c r="M135" i="42"/>
  <c r="L135" i="42"/>
  <c r="K135" i="42"/>
  <c r="O135" i="42"/>
  <c r="N135" i="42"/>
  <c r="N139" i="43"/>
  <c r="O139" i="43"/>
  <c r="M139" i="43"/>
  <c r="L139" i="43"/>
  <c r="H139" i="44"/>
  <c r="K139" i="44" s="1"/>
  <c r="I139" i="44"/>
  <c r="G139" i="44"/>
  <c r="D11" i="46"/>
  <c r="D19" i="46"/>
  <c r="D12" i="47"/>
  <c r="D20" i="47"/>
  <c r="D13" i="48"/>
  <c r="D21" i="48"/>
  <c r="G144" i="44"/>
  <c r="I144" i="44"/>
  <c r="H144" i="44"/>
  <c r="K144" i="44" s="1"/>
  <c r="L7" i="45"/>
  <c r="N7" i="45"/>
  <c r="M7" i="45"/>
  <c r="H9" i="45"/>
  <c r="J9" i="45"/>
  <c r="I9" i="45"/>
  <c r="F10" i="45"/>
  <c r="P13" i="45"/>
  <c r="T13" i="45"/>
  <c r="R13" i="45"/>
  <c r="Q13" i="45"/>
  <c r="S13" i="45"/>
  <c r="L15" i="45"/>
  <c r="N15" i="45"/>
  <c r="M15" i="45"/>
  <c r="N145" i="44"/>
  <c r="L145" i="44"/>
  <c r="O145" i="44"/>
  <c r="M145" i="44"/>
  <c r="D12" i="46"/>
  <c r="D20" i="46"/>
  <c r="D13" i="47"/>
  <c r="D21" i="47"/>
  <c r="D14" i="48"/>
  <c r="J6" i="2"/>
  <c r="F17" i="2"/>
  <c r="H17" i="2"/>
  <c r="J31" i="2"/>
  <c r="J6" i="3"/>
  <c r="K31" i="2"/>
  <c r="K6" i="3"/>
  <c r="L79" i="3"/>
  <c r="J79" i="3"/>
  <c r="L31" i="2"/>
  <c r="L6" i="3"/>
  <c r="K79" i="3"/>
  <c r="K6" i="2"/>
  <c r="H18" i="2"/>
  <c r="J58" i="2"/>
  <c r="K58" i="2"/>
  <c r="L6" i="2"/>
  <c r="L58" i="2"/>
  <c r="E17" i="2"/>
  <c r="Q6" i="6"/>
  <c r="R6" i="6"/>
  <c r="S6" i="6"/>
  <c r="S6" i="5"/>
  <c r="T6" i="5"/>
  <c r="J152" i="3"/>
  <c r="U6" i="5"/>
  <c r="K152" i="3"/>
  <c r="V6" i="5"/>
  <c r="I6" i="6"/>
  <c r="W6" i="5"/>
  <c r="J6" i="6"/>
  <c r="K6" i="6"/>
  <c r="I6" i="5"/>
  <c r="E55" i="12"/>
  <c r="E54" i="12"/>
  <c r="E53" i="12"/>
  <c r="E57" i="12" s="1"/>
  <c r="F55" i="12"/>
  <c r="F54" i="12"/>
  <c r="F53" i="12"/>
  <c r="E56" i="12"/>
  <c r="F56" i="12"/>
  <c r="D56" i="12"/>
  <c r="A15" i="12"/>
  <c r="U53" i="12"/>
  <c r="S20" i="13"/>
  <c r="C34" i="13"/>
  <c r="C48" i="13"/>
  <c r="E62" i="13"/>
  <c r="C76" i="13"/>
  <c r="U6" i="13"/>
  <c r="F104" i="13"/>
  <c r="G56" i="12"/>
  <c r="C62" i="13"/>
  <c r="C20" i="13"/>
  <c r="C104" i="13"/>
  <c r="C146" i="13"/>
  <c r="C160" i="13"/>
  <c r="C132" i="13"/>
  <c r="C118" i="13"/>
  <c r="V6" i="13"/>
  <c r="G104" i="13"/>
  <c r="Q23" i="14"/>
  <c r="D53" i="12"/>
  <c r="D57" i="12" s="1"/>
  <c r="D146" i="13"/>
  <c r="D104" i="13"/>
  <c r="D48" i="13"/>
  <c r="D90" i="13"/>
  <c r="D160" i="13"/>
  <c r="D132" i="13"/>
  <c r="D118" i="13"/>
  <c r="W6" i="13"/>
  <c r="T9" i="14"/>
  <c r="I5" i="12"/>
  <c r="U18" i="12"/>
  <c r="U22" i="12"/>
  <c r="U26" i="12"/>
  <c r="U30" i="12"/>
  <c r="U34" i="12"/>
  <c r="U38" i="12"/>
  <c r="U42" i="12"/>
  <c r="U46" i="12"/>
  <c r="U50" i="12"/>
  <c r="U55" i="12"/>
  <c r="E146" i="13"/>
  <c r="E48" i="13"/>
  <c r="E90" i="13"/>
  <c r="E160" i="13"/>
  <c r="E132" i="13"/>
  <c r="E34" i="13"/>
  <c r="E104" i="13"/>
  <c r="J5" i="12"/>
  <c r="A13" i="12"/>
  <c r="F146" i="13"/>
  <c r="F90" i="13"/>
  <c r="F160" i="13"/>
  <c r="F132" i="13"/>
  <c r="F34" i="13"/>
  <c r="F76" i="13"/>
  <c r="F118" i="13"/>
  <c r="K5" i="12"/>
  <c r="G53" i="12"/>
  <c r="G146" i="13"/>
  <c r="G90" i="13"/>
  <c r="G160" i="13"/>
  <c r="G132" i="13"/>
  <c r="G76" i="13"/>
  <c r="G118" i="13"/>
  <c r="E20" i="13"/>
  <c r="L5" i="12"/>
  <c r="D54" i="12"/>
  <c r="U56" i="12"/>
  <c r="F20" i="13"/>
  <c r="U15" i="12"/>
  <c r="U19" i="12"/>
  <c r="U23" i="12"/>
  <c r="U27" i="12"/>
  <c r="U31" i="12"/>
  <c r="U35" i="12"/>
  <c r="U39" i="12"/>
  <c r="U43" i="12"/>
  <c r="U47" i="12"/>
  <c r="U51" i="12"/>
  <c r="E118" i="13"/>
  <c r="U12" i="12"/>
  <c r="J6" i="13"/>
  <c r="G54" i="12"/>
  <c r="A14" i="12"/>
  <c r="K6" i="13"/>
  <c r="C90" i="13"/>
  <c r="D55" i="12"/>
  <c r="U9" i="12"/>
  <c r="A11" i="12"/>
  <c r="O20" i="13"/>
  <c r="U16" i="12"/>
  <c r="U20" i="12"/>
  <c r="U24" i="12"/>
  <c r="U28" i="12"/>
  <c r="U32" i="12"/>
  <c r="U36" i="12"/>
  <c r="U40" i="12"/>
  <c r="U44" i="12"/>
  <c r="U48" i="12"/>
  <c r="U52" i="12"/>
  <c r="P20" i="13"/>
  <c r="Q20" i="13"/>
  <c r="S5" i="12"/>
  <c r="U13" i="12"/>
  <c r="R20" i="13"/>
  <c r="D62" i="13"/>
  <c r="C107" i="14"/>
  <c r="C163" i="14"/>
  <c r="C79" i="14"/>
  <c r="C135" i="14"/>
  <c r="M7" i="15"/>
  <c r="L7" i="15"/>
  <c r="K7" i="15"/>
  <c r="J7" i="15"/>
  <c r="C149" i="14"/>
  <c r="C121" i="14"/>
  <c r="C93" i="14"/>
  <c r="C65" i="14"/>
  <c r="C37" i="14"/>
  <c r="C23" i="14"/>
  <c r="I7" i="15"/>
  <c r="C51" i="14"/>
  <c r="U21" i="15"/>
  <c r="X7" i="15"/>
  <c r="P23" i="14"/>
  <c r="S9" i="16"/>
  <c r="S21" i="16"/>
  <c r="E35" i="15"/>
  <c r="F49" i="15"/>
  <c r="G63" i="15"/>
  <c r="F21" i="15"/>
  <c r="F35" i="15"/>
  <c r="G49" i="15"/>
  <c r="D91" i="16"/>
  <c r="D65" i="16"/>
  <c r="D133" i="16"/>
  <c r="D107" i="16"/>
  <c r="D149" i="16"/>
  <c r="D77" i="16"/>
  <c r="D51" i="16"/>
  <c r="D119" i="16"/>
  <c r="D93" i="16"/>
  <c r="D35" i="16"/>
  <c r="D121" i="16"/>
  <c r="D135" i="16"/>
  <c r="D37" i="16"/>
  <c r="D21" i="16"/>
  <c r="D147" i="16"/>
  <c r="D105" i="16"/>
  <c r="D63" i="16"/>
  <c r="D161" i="16"/>
  <c r="D79" i="16"/>
  <c r="D49" i="16"/>
  <c r="F91" i="16"/>
  <c r="F65" i="16"/>
  <c r="F133" i="16"/>
  <c r="F107" i="16"/>
  <c r="F149" i="16"/>
  <c r="F119" i="16"/>
  <c r="F93" i="16"/>
  <c r="F161" i="16"/>
  <c r="F135" i="16"/>
  <c r="F77" i="16"/>
  <c r="F37" i="16"/>
  <c r="F21" i="16"/>
  <c r="F147" i="16"/>
  <c r="F105" i="16"/>
  <c r="F63" i="16"/>
  <c r="F23" i="16"/>
  <c r="F79" i="16"/>
  <c r="F51" i="16"/>
  <c r="F9" i="16"/>
  <c r="F35" i="16"/>
  <c r="F49" i="16"/>
  <c r="F119" i="15"/>
  <c r="D9" i="16"/>
  <c r="C119" i="15"/>
  <c r="Q21" i="15"/>
  <c r="C105" i="15"/>
  <c r="G133" i="15"/>
  <c r="C161" i="15"/>
  <c r="F121" i="16"/>
  <c r="D119" i="15"/>
  <c r="D133" i="15"/>
  <c r="W7" i="15"/>
  <c r="R21" i="15"/>
  <c r="C91" i="15"/>
  <c r="D105" i="15"/>
  <c r="C147" i="15"/>
  <c r="D161" i="15"/>
  <c r="E119" i="15"/>
  <c r="E133" i="15"/>
  <c r="E147" i="15"/>
  <c r="S21" i="15"/>
  <c r="C77" i="15"/>
  <c r="D91" i="15"/>
  <c r="E105" i="15"/>
  <c r="D147" i="15"/>
  <c r="E161" i="15"/>
  <c r="F133" i="15"/>
  <c r="F147" i="15"/>
  <c r="F161" i="15"/>
  <c r="T21" i="15"/>
  <c r="C63" i="15"/>
  <c r="D77" i="15"/>
  <c r="E91" i="15"/>
  <c r="F105" i="15"/>
  <c r="G119" i="15"/>
  <c r="G147" i="15"/>
  <c r="G161" i="15"/>
  <c r="C49" i="15"/>
  <c r="D63" i="15"/>
  <c r="E77" i="15"/>
  <c r="F91" i="15"/>
  <c r="G105" i="15"/>
  <c r="G133" i="16"/>
  <c r="G107" i="16"/>
  <c r="G149" i="16"/>
  <c r="G77" i="16"/>
  <c r="G51" i="16"/>
  <c r="G161" i="16"/>
  <c r="G135" i="16"/>
  <c r="O21" i="16"/>
  <c r="G121" i="16"/>
  <c r="P21" i="16"/>
  <c r="G35" i="16"/>
  <c r="C79" i="16"/>
  <c r="C91" i="16"/>
  <c r="C161" i="16"/>
  <c r="S21" i="17"/>
  <c r="C149" i="16"/>
  <c r="O21" i="17"/>
  <c r="K7" i="16"/>
  <c r="E63" i="16"/>
  <c r="E105" i="16"/>
  <c r="C147" i="16"/>
  <c r="P21" i="17"/>
  <c r="P9" i="17"/>
  <c r="G79" i="16"/>
  <c r="C93" i="16"/>
  <c r="Q21" i="17"/>
  <c r="Q9" i="17"/>
  <c r="E51" i="17"/>
  <c r="E149" i="17"/>
  <c r="Y6" i="18"/>
  <c r="G63" i="16"/>
  <c r="G93" i="16"/>
  <c r="G105" i="16"/>
  <c r="E147" i="16"/>
  <c r="R21" i="17"/>
  <c r="R9" i="17"/>
  <c r="X6" i="18"/>
  <c r="C37" i="16"/>
  <c r="E107" i="17"/>
  <c r="G147" i="16"/>
  <c r="W7" i="17"/>
  <c r="V7" i="17"/>
  <c r="U7" i="17"/>
  <c r="O9" i="17"/>
  <c r="E121" i="17"/>
  <c r="G132" i="18"/>
  <c r="G106" i="18"/>
  <c r="G90" i="18"/>
  <c r="G146" i="18"/>
  <c r="G120" i="18"/>
  <c r="G104" i="18"/>
  <c r="G78" i="18"/>
  <c r="G160" i="18"/>
  <c r="G134" i="18"/>
  <c r="G50" i="18"/>
  <c r="G76" i="18"/>
  <c r="G34" i="18"/>
  <c r="G8" i="18"/>
  <c r="G92" i="18"/>
  <c r="G64" i="18"/>
  <c r="G118" i="18"/>
  <c r="G48" i="18"/>
  <c r="G62" i="18"/>
  <c r="G36" i="18"/>
  <c r="G148" i="18"/>
  <c r="G20" i="18"/>
  <c r="I6" i="18"/>
  <c r="G22" i="18"/>
  <c r="S9" i="17"/>
  <c r="O9" i="16"/>
  <c r="E79" i="17"/>
  <c r="U7" i="16"/>
  <c r="P9" i="16"/>
  <c r="G21" i="16"/>
  <c r="G37" i="16"/>
  <c r="C65" i="16"/>
  <c r="C49" i="16"/>
  <c r="C133" i="16"/>
  <c r="C107" i="16"/>
  <c r="C77" i="16"/>
  <c r="C51" i="16"/>
  <c r="Q9" i="16"/>
  <c r="G65" i="16"/>
  <c r="C121" i="16"/>
  <c r="E77" i="16"/>
  <c r="E49" i="16"/>
  <c r="E91" i="16"/>
  <c r="E65" i="16"/>
  <c r="E133" i="16"/>
  <c r="E107" i="16"/>
  <c r="E149" i="16"/>
  <c r="E119" i="16"/>
  <c r="E93" i="16"/>
  <c r="E161" i="16"/>
  <c r="E135" i="16"/>
  <c r="E121" i="16"/>
  <c r="E77" i="17"/>
  <c r="E119" i="17"/>
  <c r="E93" i="17"/>
  <c r="E161" i="17"/>
  <c r="E135" i="17"/>
  <c r="E65" i="17"/>
  <c r="E9" i="17"/>
  <c r="E35" i="17"/>
  <c r="E147" i="17"/>
  <c r="E105" i="17"/>
  <c r="E133" i="17"/>
  <c r="E91" i="17"/>
  <c r="G79" i="17"/>
  <c r="D105" i="17"/>
  <c r="F121" i="17"/>
  <c r="C147" i="17"/>
  <c r="G149" i="17"/>
  <c r="G91" i="17"/>
  <c r="G121" i="17"/>
  <c r="F133" i="17"/>
  <c r="D147" i="17"/>
  <c r="G133" i="17"/>
  <c r="O22" i="18"/>
  <c r="G105" i="17"/>
  <c r="F147" i="17"/>
  <c r="K146" i="18"/>
  <c r="K120" i="18"/>
  <c r="K104" i="18"/>
  <c r="K78" i="18"/>
  <c r="K160" i="18"/>
  <c r="K134" i="18"/>
  <c r="K118" i="18"/>
  <c r="K92" i="18"/>
  <c r="K132" i="18"/>
  <c r="K106" i="18"/>
  <c r="K90" i="18"/>
  <c r="K64" i="18"/>
  <c r="K48" i="18"/>
  <c r="K22" i="18"/>
  <c r="K62" i="18"/>
  <c r="K36" i="18"/>
  <c r="K50" i="18"/>
  <c r="K148" i="18"/>
  <c r="G21" i="17"/>
  <c r="G37" i="17"/>
  <c r="G63" i="17"/>
  <c r="G147" i="17"/>
  <c r="L146" i="18"/>
  <c r="L120" i="18"/>
  <c r="L104" i="18"/>
  <c r="L78" i="18"/>
  <c r="L160" i="18"/>
  <c r="L134" i="18"/>
  <c r="L118" i="18"/>
  <c r="L92" i="18"/>
  <c r="L148" i="18"/>
  <c r="L90" i="18"/>
  <c r="L64" i="18"/>
  <c r="L48" i="18"/>
  <c r="L22" i="18"/>
  <c r="L106" i="18"/>
  <c r="L62" i="18"/>
  <c r="L36" i="18"/>
  <c r="L132" i="18"/>
  <c r="L50" i="18"/>
  <c r="L76" i="18"/>
  <c r="C149" i="17"/>
  <c r="C77" i="17"/>
  <c r="C119" i="17"/>
  <c r="C93" i="17"/>
  <c r="C51" i="17"/>
  <c r="M104" i="18"/>
  <c r="M78" i="18"/>
  <c r="M160" i="18"/>
  <c r="M134" i="18"/>
  <c r="M118" i="18"/>
  <c r="M92" i="18"/>
  <c r="M148" i="18"/>
  <c r="M132" i="18"/>
  <c r="M106" i="18"/>
  <c r="M146" i="18"/>
  <c r="M48" i="18"/>
  <c r="M22" i="18"/>
  <c r="M62" i="18"/>
  <c r="M36" i="18"/>
  <c r="M50" i="18"/>
  <c r="M76" i="18"/>
  <c r="M34" i="18"/>
  <c r="M120" i="18"/>
  <c r="D77" i="17"/>
  <c r="D119" i="17"/>
  <c r="D93" i="17"/>
  <c r="D161" i="17"/>
  <c r="D135" i="17"/>
  <c r="C35" i="17"/>
  <c r="D51" i="17"/>
  <c r="N160" i="18"/>
  <c r="N134" i="18"/>
  <c r="N118" i="18"/>
  <c r="N92" i="18"/>
  <c r="N148" i="18"/>
  <c r="N132" i="18"/>
  <c r="N106" i="18"/>
  <c r="N90" i="18"/>
  <c r="N146" i="18"/>
  <c r="N120" i="18"/>
  <c r="N104" i="18"/>
  <c r="N62" i="18"/>
  <c r="N36" i="18"/>
  <c r="N78" i="18"/>
  <c r="N50" i="18"/>
  <c r="N76" i="18"/>
  <c r="K8" i="18"/>
  <c r="N48" i="18"/>
  <c r="O160" i="18"/>
  <c r="O134" i="18"/>
  <c r="O118" i="18"/>
  <c r="O92" i="18"/>
  <c r="O148" i="18"/>
  <c r="O90" i="18"/>
  <c r="O104" i="18"/>
  <c r="O78" i="18"/>
  <c r="O62" i="18"/>
  <c r="O36" i="18"/>
  <c r="O20" i="18"/>
  <c r="O106" i="18"/>
  <c r="O50" i="18"/>
  <c r="O132" i="18"/>
  <c r="O76" i="18"/>
  <c r="O120" i="18"/>
  <c r="K20" i="18"/>
  <c r="O48" i="18"/>
  <c r="K76" i="18"/>
  <c r="F77" i="17"/>
  <c r="F119" i="17"/>
  <c r="F93" i="17"/>
  <c r="F161" i="17"/>
  <c r="F135" i="17"/>
  <c r="F51" i="17"/>
  <c r="R6" i="18"/>
  <c r="M8" i="18"/>
  <c r="L20" i="18"/>
  <c r="G119" i="17"/>
  <c r="G93" i="17"/>
  <c r="G161" i="17"/>
  <c r="G135" i="17"/>
  <c r="F35" i="17"/>
  <c r="G51" i="17"/>
  <c r="Q6" i="18"/>
  <c r="N8" i="18"/>
  <c r="K34" i="18"/>
  <c r="M64" i="18"/>
  <c r="C9" i="17"/>
  <c r="G35" i="17"/>
  <c r="C65" i="17"/>
  <c r="O8" i="18"/>
  <c r="N20" i="18"/>
  <c r="L34" i="18"/>
  <c r="N64" i="18"/>
  <c r="I7" i="17"/>
  <c r="D9" i="17"/>
  <c r="C23" i="17"/>
  <c r="C49" i="17"/>
  <c r="D65" i="17"/>
  <c r="C107" i="17"/>
  <c r="N34" i="18"/>
  <c r="O64" i="18"/>
  <c r="J7" i="17"/>
  <c r="D23" i="17"/>
  <c r="D49" i="17"/>
  <c r="C79" i="17"/>
  <c r="D107" i="17"/>
  <c r="O34" i="18"/>
  <c r="T120" i="18"/>
  <c r="C118" i="18"/>
  <c r="E78" i="18"/>
  <c r="E118" i="18"/>
  <c r="Z7" i="19"/>
  <c r="T7" i="19"/>
  <c r="S76" i="18"/>
  <c r="V149" i="19"/>
  <c r="V147" i="19"/>
  <c r="V121" i="19"/>
  <c r="V119" i="19"/>
  <c r="V161" i="19"/>
  <c r="V135" i="19"/>
  <c r="V77" i="19"/>
  <c r="V51" i="19"/>
  <c r="V49" i="19"/>
  <c r="V23" i="19"/>
  <c r="V91" i="19"/>
  <c r="V93" i="19"/>
  <c r="V107" i="19"/>
  <c r="V65" i="19"/>
  <c r="V63" i="19"/>
  <c r="V37" i="19"/>
  <c r="V21" i="19"/>
  <c r="V105" i="19"/>
  <c r="V133" i="19"/>
  <c r="V9" i="19"/>
  <c r="V35" i="19"/>
  <c r="V79" i="19"/>
  <c r="T76" i="18"/>
  <c r="D160" i="18"/>
  <c r="D34" i="18"/>
  <c r="T34" i="18"/>
  <c r="C50" i="18"/>
  <c r="S50" i="18"/>
  <c r="C76" i="18"/>
  <c r="V76" i="18"/>
  <c r="C148" i="18"/>
  <c r="C132" i="18"/>
  <c r="C106" i="18"/>
  <c r="C90" i="18"/>
  <c r="C146" i="18"/>
  <c r="C120" i="18"/>
  <c r="C104" i="18"/>
  <c r="C78" i="18"/>
  <c r="C160" i="18"/>
  <c r="C134" i="18"/>
  <c r="S148" i="18"/>
  <c r="S132" i="18"/>
  <c r="S106" i="18"/>
  <c r="S90" i="18"/>
  <c r="S146" i="18"/>
  <c r="S120" i="18"/>
  <c r="S104" i="18"/>
  <c r="S78" i="18"/>
  <c r="S160" i="18"/>
  <c r="S134" i="18"/>
  <c r="E8" i="18"/>
  <c r="U8" i="18"/>
  <c r="E34" i="18"/>
  <c r="U34" i="18"/>
  <c r="D50" i="18"/>
  <c r="T50" i="18"/>
  <c r="D76" i="18"/>
  <c r="E92" i="18"/>
  <c r="U118" i="18"/>
  <c r="D148" i="18"/>
  <c r="D132" i="18"/>
  <c r="D106" i="18"/>
  <c r="D90" i="18"/>
  <c r="D104" i="18"/>
  <c r="D78" i="18"/>
  <c r="D118" i="18"/>
  <c r="D92" i="18"/>
  <c r="T148" i="18"/>
  <c r="T132" i="18"/>
  <c r="T106" i="18"/>
  <c r="T90" i="18"/>
  <c r="T104" i="18"/>
  <c r="T78" i="18"/>
  <c r="T118" i="18"/>
  <c r="T92" i="18"/>
  <c r="F8" i="18"/>
  <c r="V8" i="18"/>
  <c r="F34" i="18"/>
  <c r="V34" i="18"/>
  <c r="E50" i="18"/>
  <c r="U50" i="18"/>
  <c r="F76" i="18"/>
  <c r="U78" i="18"/>
  <c r="F134" i="18"/>
  <c r="E148" i="18"/>
  <c r="E132" i="18"/>
  <c r="E106" i="18"/>
  <c r="E90" i="18"/>
  <c r="E146" i="18"/>
  <c r="E120" i="18"/>
  <c r="E160" i="18"/>
  <c r="E134" i="18"/>
  <c r="E76" i="18"/>
  <c r="U148" i="18"/>
  <c r="U132" i="18"/>
  <c r="U106" i="18"/>
  <c r="U90" i="18"/>
  <c r="U146" i="18"/>
  <c r="U120" i="18"/>
  <c r="U160" i="18"/>
  <c r="U134" i="18"/>
  <c r="U76" i="18"/>
  <c r="F50" i="18"/>
  <c r="V50" i="18"/>
  <c r="E104" i="18"/>
  <c r="D146" i="18"/>
  <c r="F148" i="18"/>
  <c r="F132" i="18"/>
  <c r="F106" i="18"/>
  <c r="F90" i="18"/>
  <c r="F146" i="18"/>
  <c r="F120" i="18"/>
  <c r="F104" i="18"/>
  <c r="F78" i="18"/>
  <c r="F160" i="18"/>
  <c r="F118" i="18"/>
  <c r="F92" i="18"/>
  <c r="V148" i="18"/>
  <c r="V132" i="18"/>
  <c r="V106" i="18"/>
  <c r="V90" i="18"/>
  <c r="V146" i="18"/>
  <c r="V120" i="18"/>
  <c r="V104" i="18"/>
  <c r="V78" i="18"/>
  <c r="V160" i="18"/>
  <c r="V118" i="18"/>
  <c r="V92" i="18"/>
  <c r="C20" i="18"/>
  <c r="S20" i="18"/>
  <c r="S92" i="18"/>
  <c r="F21" i="19"/>
  <c r="X7" i="19"/>
  <c r="E7" i="19"/>
  <c r="F149" i="19"/>
  <c r="F147" i="19"/>
  <c r="F121" i="19"/>
  <c r="F119" i="19"/>
  <c r="F161" i="19"/>
  <c r="F135" i="19"/>
  <c r="F91" i="19"/>
  <c r="F107" i="19"/>
  <c r="F93" i="19"/>
  <c r="F77" i="19"/>
  <c r="F51" i="19"/>
  <c r="F49" i="19"/>
  <c r="F23" i="19"/>
  <c r="F133" i="19"/>
  <c r="F79" i="19"/>
  <c r="F65" i="19"/>
  <c r="F63" i="19"/>
  <c r="F37" i="19"/>
  <c r="F105" i="19"/>
  <c r="J7" i="19"/>
  <c r="H7" i="19"/>
  <c r="F9" i="19"/>
  <c r="N7" i="19"/>
  <c r="P7" i="19" s="1"/>
  <c r="R7" i="19"/>
  <c r="F35" i="19"/>
  <c r="H8" i="21"/>
  <c r="I8" i="21"/>
  <c r="L22" i="21"/>
  <c r="R8" i="21"/>
  <c r="Q8" i="21"/>
  <c r="C162" i="21"/>
  <c r="R21" i="22"/>
  <c r="C120" i="21"/>
  <c r="D120" i="21"/>
  <c r="C134" i="21"/>
  <c r="X7" i="22"/>
  <c r="W7" i="22"/>
  <c r="E120" i="21"/>
  <c r="E134" i="21"/>
  <c r="V7" i="22"/>
  <c r="M22" i="21"/>
  <c r="D92" i="21"/>
  <c r="F134" i="21"/>
  <c r="C161" i="22"/>
  <c r="C147" i="22"/>
  <c r="C133" i="22"/>
  <c r="C119" i="22"/>
  <c r="C105" i="22"/>
  <c r="C91" i="22"/>
  <c r="C63" i="22"/>
  <c r="C49" i="22"/>
  <c r="C35" i="22"/>
  <c r="C92" i="21"/>
  <c r="C148" i="21"/>
  <c r="C106" i="21"/>
  <c r="C64" i="21"/>
  <c r="C78" i="21"/>
  <c r="N22" i="21"/>
  <c r="C36" i="21"/>
  <c r="F92" i="21"/>
  <c r="D50" i="21"/>
  <c r="D148" i="21"/>
  <c r="D106" i="21"/>
  <c r="D64" i="21"/>
  <c r="D36" i="21"/>
  <c r="D134" i="21"/>
  <c r="O22" i="21"/>
  <c r="E36" i="21"/>
  <c r="E148" i="21"/>
  <c r="E106" i="21"/>
  <c r="E64" i="21"/>
  <c r="E162" i="21"/>
  <c r="E92" i="21"/>
  <c r="F148" i="21"/>
  <c r="F106" i="21"/>
  <c r="F64" i="21"/>
  <c r="F162" i="21"/>
  <c r="F120" i="21"/>
  <c r="F50" i="21"/>
  <c r="C21" i="22"/>
  <c r="C77" i="22"/>
  <c r="P21" i="22"/>
  <c r="H49" i="22"/>
  <c r="F63" i="22"/>
  <c r="D77" i="22"/>
  <c r="E91" i="22"/>
  <c r="F119" i="22"/>
  <c r="H63" i="22"/>
  <c r="F77" i="22"/>
  <c r="H91" i="22"/>
  <c r="D105" i="22"/>
  <c r="F147" i="22"/>
  <c r="S21" i="22"/>
  <c r="G77" i="22"/>
  <c r="F105" i="22"/>
  <c r="G147" i="22"/>
  <c r="T21" i="22"/>
  <c r="H77" i="22"/>
  <c r="H105" i="22"/>
  <c r="D21" i="22"/>
  <c r="E147" i="22"/>
  <c r="E133" i="22"/>
  <c r="E119" i="22"/>
  <c r="E105" i="22"/>
  <c r="E21" i="22"/>
  <c r="D133" i="22"/>
  <c r="F161" i="22"/>
  <c r="F21" i="22"/>
  <c r="F133" i="22"/>
  <c r="G133" i="22"/>
  <c r="G119" i="22"/>
  <c r="G105" i="22"/>
  <c r="G91" i="22"/>
  <c r="G21" i="22"/>
  <c r="D35" i="22"/>
  <c r="H133" i="22"/>
  <c r="D161" i="22"/>
  <c r="H147" i="22"/>
  <c r="H21" i="22"/>
  <c r="E35" i="22"/>
  <c r="E161" i="22"/>
  <c r="F35" i="22"/>
  <c r="D49" i="22"/>
  <c r="G161" i="22"/>
  <c r="G35" i="22"/>
  <c r="E49" i="22"/>
  <c r="H161" i="22"/>
  <c r="K7" i="22"/>
  <c r="H35" i="22"/>
  <c r="F49" i="22"/>
  <c r="D63" i="22"/>
  <c r="C76" i="26"/>
  <c r="C118" i="26"/>
  <c r="C160" i="26"/>
  <c r="C62" i="26"/>
  <c r="C104" i="26"/>
  <c r="C146" i="26"/>
  <c r="C20" i="26"/>
  <c r="C132" i="26"/>
  <c r="C48" i="26"/>
  <c r="C90" i="26"/>
  <c r="C34" i="26"/>
  <c r="E20" i="26"/>
  <c r="G76" i="26"/>
  <c r="D118" i="26"/>
  <c r="D160" i="26"/>
  <c r="D62" i="26"/>
  <c r="D104" i="26"/>
  <c r="D146" i="26"/>
  <c r="D132" i="26"/>
  <c r="G20" i="26"/>
  <c r="E160" i="26"/>
  <c r="E62" i="26"/>
  <c r="E104" i="26"/>
  <c r="E146" i="26"/>
  <c r="E132" i="26"/>
  <c r="F62" i="26"/>
  <c r="F104" i="26"/>
  <c r="F146" i="26"/>
  <c r="F90" i="26"/>
  <c r="F132" i="26"/>
  <c r="F118" i="26"/>
  <c r="D34" i="26"/>
  <c r="E118" i="26"/>
  <c r="G62" i="26"/>
  <c r="G104" i="26"/>
  <c r="G146" i="26"/>
  <c r="G90" i="26"/>
  <c r="G132" i="26"/>
  <c r="G160" i="26"/>
  <c r="E34" i="26"/>
  <c r="G118" i="26"/>
  <c r="F34" i="26"/>
  <c r="I6" i="26"/>
  <c r="G34" i="26"/>
  <c r="F160" i="26"/>
  <c r="J6" i="26"/>
  <c r="D90" i="26"/>
  <c r="D62" i="27"/>
  <c r="D104" i="27"/>
  <c r="D146" i="27"/>
  <c r="D132" i="27"/>
  <c r="D118" i="27"/>
  <c r="D20" i="27"/>
  <c r="D76" i="27"/>
  <c r="D48" i="27"/>
  <c r="D90" i="27"/>
  <c r="D160" i="27"/>
  <c r="K6" i="26"/>
  <c r="D48" i="26"/>
  <c r="E90" i="26"/>
  <c r="E48" i="26"/>
  <c r="F62" i="27"/>
  <c r="F104" i="27"/>
  <c r="F146" i="27"/>
  <c r="F90" i="27"/>
  <c r="F132" i="27"/>
  <c r="F118" i="27"/>
  <c r="F20" i="27"/>
  <c r="F76" i="27"/>
  <c r="F48" i="27"/>
  <c r="F160" i="27"/>
  <c r="F34" i="27"/>
  <c r="F48" i="26"/>
  <c r="G48" i="26"/>
  <c r="D76" i="26"/>
  <c r="E76" i="26"/>
  <c r="E62" i="27"/>
  <c r="E104" i="27"/>
  <c r="E146" i="27"/>
  <c r="E90" i="27"/>
  <c r="E132" i="27"/>
  <c r="E160" i="27"/>
  <c r="C34" i="27"/>
  <c r="G104" i="27"/>
  <c r="G146" i="27"/>
  <c r="G90" i="27"/>
  <c r="G132" i="27"/>
  <c r="G118" i="27"/>
  <c r="G160" i="27"/>
  <c r="I6" i="27"/>
  <c r="G34" i="27"/>
  <c r="C90" i="27"/>
  <c r="J6" i="27"/>
  <c r="C132" i="27"/>
  <c r="K6" i="27"/>
  <c r="E48" i="27"/>
  <c r="E76" i="27"/>
  <c r="G48" i="27"/>
  <c r="G76" i="27"/>
  <c r="C20" i="27"/>
  <c r="C118" i="27"/>
  <c r="E20" i="27"/>
  <c r="G62" i="27"/>
  <c r="E118" i="27"/>
  <c r="C160" i="27"/>
  <c r="C62" i="27"/>
  <c r="C104" i="27"/>
  <c r="C146" i="27"/>
  <c r="C76" i="27"/>
  <c r="D146" i="28"/>
  <c r="D160" i="28"/>
  <c r="D48" i="28"/>
  <c r="D62" i="28"/>
  <c r="D76" i="28"/>
  <c r="D90" i="28"/>
  <c r="D104" i="28"/>
  <c r="D118" i="28"/>
  <c r="D132" i="28"/>
  <c r="D20" i="28"/>
  <c r="D34" i="28"/>
  <c r="C132" i="28"/>
  <c r="C146" i="28"/>
  <c r="C160" i="28"/>
  <c r="C48" i="28"/>
  <c r="C62" i="28"/>
  <c r="C76" i="28"/>
  <c r="C90" i="28"/>
  <c r="C104" i="28"/>
  <c r="C118" i="28"/>
  <c r="E132" i="28"/>
  <c r="E160" i="28"/>
  <c r="E48" i="28"/>
  <c r="E62" i="28"/>
  <c r="E76" i="28"/>
  <c r="E90" i="28"/>
  <c r="E104" i="28"/>
  <c r="E118" i="28"/>
  <c r="F146" i="28"/>
  <c r="F160" i="28"/>
  <c r="F62" i="28"/>
  <c r="F76" i="28"/>
  <c r="F90" i="28"/>
  <c r="F104" i="28"/>
  <c r="F118" i="28"/>
  <c r="G146" i="28"/>
  <c r="G160" i="28"/>
  <c r="G48" i="28"/>
  <c r="G62" i="28"/>
  <c r="G76" i="28"/>
  <c r="G90" i="28"/>
  <c r="G104" i="28"/>
  <c r="G118" i="28"/>
  <c r="G132" i="28"/>
  <c r="F48" i="28"/>
  <c r="I6" i="28"/>
  <c r="C34" i="28"/>
  <c r="E146" i="28"/>
  <c r="J6" i="28"/>
  <c r="C20" i="28"/>
  <c r="K6" i="28"/>
  <c r="E34" i="28"/>
  <c r="L6" i="28"/>
  <c r="E20" i="28"/>
  <c r="F34" i="28"/>
  <c r="F132" i="28"/>
  <c r="M6" i="28"/>
  <c r="F20" i="28"/>
  <c r="G34" i="28"/>
  <c r="G20" i="28"/>
  <c r="N30" i="30"/>
  <c r="L30" i="30"/>
  <c r="H128" i="30"/>
  <c r="F130" i="30"/>
  <c r="F122" i="30"/>
  <c r="H126" i="30"/>
  <c r="L124" i="30"/>
  <c r="N121" i="30"/>
  <c r="J120" i="30"/>
  <c r="F119" i="30"/>
  <c r="J131" i="30"/>
  <c r="L129" i="30"/>
  <c r="F126" i="30"/>
  <c r="F123" i="30"/>
  <c r="L127" i="30"/>
  <c r="J124" i="30"/>
  <c r="L121" i="30"/>
  <c r="H120" i="30"/>
  <c r="H131" i="30"/>
  <c r="J129" i="30"/>
  <c r="H129" i="30"/>
  <c r="J127" i="30"/>
  <c r="H124" i="30"/>
  <c r="J121" i="30"/>
  <c r="F120" i="30"/>
  <c r="F131" i="30"/>
  <c r="L125" i="30"/>
  <c r="N122" i="30"/>
  <c r="F129" i="30"/>
  <c r="H127" i="30"/>
  <c r="F124" i="30"/>
  <c r="H121" i="30"/>
  <c r="J125" i="30"/>
  <c r="L122" i="30"/>
  <c r="L130" i="30"/>
  <c r="F127" i="30"/>
  <c r="F121" i="30"/>
  <c r="N119" i="30"/>
  <c r="J130" i="30"/>
  <c r="L128" i="30"/>
  <c r="H125" i="30"/>
  <c r="J122" i="30"/>
  <c r="N123" i="30"/>
  <c r="L119" i="30"/>
  <c r="H130" i="30"/>
  <c r="J128" i="30"/>
  <c r="F125" i="30"/>
  <c r="H122" i="30"/>
  <c r="L126" i="30"/>
  <c r="L123" i="30"/>
  <c r="N120" i="30"/>
  <c r="J119" i="30"/>
  <c r="J126" i="30"/>
  <c r="J123" i="30"/>
  <c r="L120" i="30"/>
  <c r="H119" i="30"/>
  <c r="N124" i="30"/>
  <c r="H118" i="30"/>
  <c r="L164" i="30"/>
  <c r="J166" i="30"/>
  <c r="J185" i="30"/>
  <c r="N187" i="30"/>
  <c r="F192" i="30"/>
  <c r="F209" i="30"/>
  <c r="N230" i="30"/>
  <c r="H196" i="30"/>
  <c r="L194" i="30"/>
  <c r="F193" i="30"/>
  <c r="J191" i="30"/>
  <c r="F190" i="30"/>
  <c r="N188" i="30"/>
  <c r="J187" i="30"/>
  <c r="F186" i="30"/>
  <c r="L197" i="30"/>
  <c r="F196" i="30"/>
  <c r="J194" i="30"/>
  <c r="H191" i="30"/>
  <c r="L188" i="30"/>
  <c r="H187" i="30"/>
  <c r="J197" i="30"/>
  <c r="H194" i="30"/>
  <c r="L192" i="30"/>
  <c r="F191" i="30"/>
  <c r="N189" i="30"/>
  <c r="J188" i="30"/>
  <c r="F187" i="30"/>
  <c r="N185" i="30"/>
  <c r="H190" i="30"/>
  <c r="H192" i="30"/>
  <c r="F195" i="30"/>
  <c r="H216" i="30"/>
  <c r="L168" i="30"/>
  <c r="H171" i="30"/>
  <c r="J192" i="30"/>
  <c r="J207" i="30"/>
  <c r="N209" i="30"/>
  <c r="L211" i="30"/>
  <c r="F214" i="30"/>
  <c r="F219" i="30"/>
  <c r="H186" i="30"/>
  <c r="F188" i="30"/>
  <c r="J190" i="30"/>
  <c r="H195" i="30"/>
  <c r="N211" i="30"/>
  <c r="L52" i="31"/>
  <c r="H79" i="30"/>
  <c r="H85" i="30"/>
  <c r="L175" i="30"/>
  <c r="F174" i="30"/>
  <c r="J172" i="30"/>
  <c r="H169" i="30"/>
  <c r="L166" i="30"/>
  <c r="H165" i="30"/>
  <c r="J175" i="30"/>
  <c r="H172" i="30"/>
  <c r="L170" i="30"/>
  <c r="F169" i="30"/>
  <c r="N167" i="30"/>
  <c r="H175" i="30"/>
  <c r="L173" i="30"/>
  <c r="F172" i="30"/>
  <c r="J170" i="30"/>
  <c r="J163" i="30"/>
  <c r="J171" i="30"/>
  <c r="H174" i="30"/>
  <c r="J184" i="30"/>
  <c r="H184" i="30"/>
  <c r="H188" i="30"/>
  <c r="J218" i="30"/>
  <c r="H215" i="30"/>
  <c r="L213" i="30"/>
  <c r="H212" i="30"/>
  <c r="L209" i="30"/>
  <c r="H208" i="30"/>
  <c r="H218" i="30"/>
  <c r="L216" i="30"/>
  <c r="F215" i="30"/>
  <c r="J213" i="30"/>
  <c r="F212" i="30"/>
  <c r="N210" i="30"/>
  <c r="J209" i="30"/>
  <c r="F208" i="30"/>
  <c r="L219" i="30"/>
  <c r="F218" i="30"/>
  <c r="J216" i="30"/>
  <c r="H213" i="30"/>
  <c r="L210" i="30"/>
  <c r="H209" i="30"/>
  <c r="L207" i="30"/>
  <c r="H214" i="30"/>
  <c r="F217" i="30"/>
  <c r="H219" i="30"/>
  <c r="J165" i="30"/>
  <c r="F167" i="30"/>
  <c r="J186" i="30"/>
  <c r="L190" i="30"/>
  <c r="H193" i="30"/>
  <c r="J195" i="30"/>
  <c r="N207" i="30"/>
  <c r="J219" i="30"/>
  <c r="J229" i="30"/>
  <c r="L234" i="30"/>
  <c r="H241" i="30"/>
  <c r="N80" i="30"/>
  <c r="H82" i="30"/>
  <c r="F87" i="30"/>
  <c r="L163" i="30"/>
  <c r="J169" i="30"/>
  <c r="L171" i="30"/>
  <c r="J174" i="30"/>
  <c r="L195" i="30"/>
  <c r="F210" i="30"/>
  <c r="J212" i="30"/>
  <c r="J214" i="30"/>
  <c r="H217" i="30"/>
  <c r="H63" i="30"/>
  <c r="N163" i="30"/>
  <c r="L165" i="30"/>
  <c r="H167" i="30"/>
  <c r="L186" i="30"/>
  <c r="N190" i="30"/>
  <c r="J193" i="30"/>
  <c r="H206" i="30"/>
  <c r="L214" i="30"/>
  <c r="L229" i="30"/>
  <c r="N234" i="30"/>
  <c r="L75" i="30"/>
  <c r="H78" i="30"/>
  <c r="L79" i="30"/>
  <c r="J82" i="30"/>
  <c r="F84" i="30"/>
  <c r="L85" i="30"/>
  <c r="H87" i="30"/>
  <c r="J167" i="30"/>
  <c r="L169" i="30"/>
  <c r="L174" i="30"/>
  <c r="N184" i="30"/>
  <c r="J208" i="30"/>
  <c r="H210" i="30"/>
  <c r="L212" i="30"/>
  <c r="J217" i="30"/>
  <c r="L240" i="30"/>
  <c r="F239" i="30"/>
  <c r="J237" i="30"/>
  <c r="J234" i="30"/>
  <c r="F233" i="30"/>
  <c r="N231" i="30"/>
  <c r="J230" i="30"/>
  <c r="F229" i="30"/>
  <c r="J240" i="30"/>
  <c r="H237" i="30"/>
  <c r="L235" i="30"/>
  <c r="H234" i="30"/>
  <c r="L231" i="30"/>
  <c r="H230" i="30"/>
  <c r="H240" i="30"/>
  <c r="L238" i="30"/>
  <c r="F237" i="30"/>
  <c r="J235" i="30"/>
  <c r="F234" i="30"/>
  <c r="N232" i="30"/>
  <c r="J231" i="30"/>
  <c r="F230" i="30"/>
  <c r="L241" i="30"/>
  <c r="F240" i="30"/>
  <c r="J238" i="30"/>
  <c r="H235" i="30"/>
  <c r="L232" i="30"/>
  <c r="J241" i="30"/>
  <c r="H238" i="30"/>
  <c r="L236" i="30"/>
  <c r="F235" i="30"/>
  <c r="N233" i="30"/>
  <c r="J232" i="30"/>
  <c r="H60" i="30"/>
  <c r="F65" i="30"/>
  <c r="F164" i="30"/>
  <c r="N165" i="30"/>
  <c r="N186" i="30"/>
  <c r="F189" i="30"/>
  <c r="L193" i="30"/>
  <c r="J196" i="30"/>
  <c r="N206" i="30"/>
  <c r="L206" i="30"/>
  <c r="J210" i="30"/>
  <c r="N229" i="30"/>
  <c r="F232" i="30"/>
  <c r="N75" i="30"/>
  <c r="F77" i="30"/>
  <c r="J78" i="30"/>
  <c r="N79" i="30"/>
  <c r="F81" i="30"/>
  <c r="L82" i="30"/>
  <c r="H84" i="30"/>
  <c r="J87" i="30"/>
  <c r="L167" i="30"/>
  <c r="L172" i="30"/>
  <c r="L208" i="30"/>
  <c r="N212" i="30"/>
  <c r="J215" i="30"/>
  <c r="L217" i="30"/>
  <c r="F228" i="30"/>
  <c r="H239" i="30"/>
  <c r="L53" i="30"/>
  <c r="H56" i="30"/>
  <c r="L57" i="30"/>
  <c r="F62" i="30"/>
  <c r="L63" i="30"/>
  <c r="H65" i="30"/>
  <c r="D162" i="30"/>
  <c r="H164" i="30"/>
  <c r="F175" i="30"/>
  <c r="F185" i="30"/>
  <c r="H189" i="30"/>
  <c r="L191" i="30"/>
  <c r="L196" i="30"/>
  <c r="H232" i="30"/>
  <c r="H77" i="30"/>
  <c r="L78" i="30"/>
  <c r="H81" i="30"/>
  <c r="J84" i="30"/>
  <c r="F86" i="30"/>
  <c r="L87" i="30"/>
  <c r="H140" i="30"/>
  <c r="F166" i="30"/>
  <c r="F168" i="30"/>
  <c r="F170" i="30"/>
  <c r="F194" i="30"/>
  <c r="N208" i="30"/>
  <c r="F211" i="30"/>
  <c r="L215" i="30"/>
  <c r="F236" i="30"/>
  <c r="J239" i="30"/>
  <c r="D52" i="30"/>
  <c r="N53" i="30"/>
  <c r="F55" i="30"/>
  <c r="J56" i="30"/>
  <c r="J164" i="30"/>
  <c r="H170" i="30"/>
  <c r="H185" i="30"/>
  <c r="L187" i="30"/>
  <c r="J189" i="30"/>
  <c r="F213" i="30"/>
  <c r="L228" i="30"/>
  <c r="L230" i="30"/>
  <c r="L250" i="30"/>
  <c r="W29" i="35"/>
  <c r="V29" i="35"/>
  <c r="D30" i="31"/>
  <c r="J63" i="31"/>
  <c r="H252" i="30"/>
  <c r="N253" i="30"/>
  <c r="H255" i="30"/>
  <c r="J260" i="30"/>
  <c r="H262" i="30"/>
  <c r="L285" i="30"/>
  <c r="F284" i="30"/>
  <c r="J282" i="30"/>
  <c r="H279" i="30"/>
  <c r="L276" i="30"/>
  <c r="H275" i="30"/>
  <c r="J285" i="30"/>
  <c r="H282" i="30"/>
  <c r="L280" i="30"/>
  <c r="F279" i="30"/>
  <c r="H285" i="30"/>
  <c r="L283" i="30"/>
  <c r="F282" i="30"/>
  <c r="J280" i="30"/>
  <c r="L277" i="30"/>
  <c r="H276" i="30"/>
  <c r="L273" i="30"/>
  <c r="F285" i="30"/>
  <c r="J283" i="30"/>
  <c r="H280" i="30"/>
  <c r="N278" i="30"/>
  <c r="J277" i="30"/>
  <c r="F276" i="30"/>
  <c r="N274" i="30"/>
  <c r="J273" i="30"/>
  <c r="H283" i="30"/>
  <c r="L281" i="30"/>
  <c r="H273" i="30"/>
  <c r="F275" i="30"/>
  <c r="F85" i="31"/>
  <c r="F41" i="31"/>
  <c r="F35" i="31"/>
  <c r="F31" i="31"/>
  <c r="F60" i="31"/>
  <c r="F78" i="31"/>
  <c r="F86" i="31"/>
  <c r="F63" i="31"/>
  <c r="F57" i="31"/>
  <c r="F53" i="31"/>
  <c r="F84" i="31"/>
  <c r="F39" i="31"/>
  <c r="F36" i="31"/>
  <c r="F32" i="31"/>
  <c r="F82" i="31"/>
  <c r="F79" i="31"/>
  <c r="F75" i="31"/>
  <c r="F42" i="31"/>
  <c r="F61" i="31"/>
  <c r="F58" i="31"/>
  <c r="F54" i="31"/>
  <c r="F30" i="31"/>
  <c r="F37" i="31"/>
  <c r="F33" i="31"/>
  <c r="F80" i="31"/>
  <c r="F76" i="31"/>
  <c r="L39" i="31"/>
  <c r="F43" i="31"/>
  <c r="L53" i="31"/>
  <c r="J56" i="31"/>
  <c r="H59" i="31"/>
  <c r="H78" i="31"/>
  <c r="H86" i="31"/>
  <c r="H63" i="31"/>
  <c r="H57" i="31"/>
  <c r="H53" i="31"/>
  <c r="H84" i="31"/>
  <c r="H39" i="31"/>
  <c r="H36" i="31"/>
  <c r="H32" i="31"/>
  <c r="H82" i="31"/>
  <c r="H79" i="31"/>
  <c r="H75" i="31"/>
  <c r="H42" i="31"/>
  <c r="H61" i="31"/>
  <c r="H58" i="31"/>
  <c r="H54" i="31"/>
  <c r="H37" i="31"/>
  <c r="H33" i="31"/>
  <c r="H30" i="31"/>
  <c r="H64" i="31"/>
  <c r="H80" i="31"/>
  <c r="H76" i="31"/>
  <c r="H40" i="31"/>
  <c r="H87" i="31"/>
  <c r="H60" i="31"/>
  <c r="H77" i="31"/>
  <c r="J83" i="31"/>
  <c r="J84" i="31"/>
  <c r="J39" i="31"/>
  <c r="J36" i="31"/>
  <c r="J32" i="31"/>
  <c r="J82" i="31"/>
  <c r="J79" i="31"/>
  <c r="J75" i="31"/>
  <c r="J42" i="31"/>
  <c r="J61" i="31"/>
  <c r="J58" i="31"/>
  <c r="J54" i="31"/>
  <c r="J37" i="31"/>
  <c r="J33" i="31"/>
  <c r="J64" i="31"/>
  <c r="J30" i="31"/>
  <c r="J80" i="31"/>
  <c r="J76" i="31"/>
  <c r="J40" i="31"/>
  <c r="J59" i="31"/>
  <c r="J55" i="31"/>
  <c r="J87" i="31"/>
  <c r="J43" i="31"/>
  <c r="J34" i="31"/>
  <c r="J81" i="31"/>
  <c r="J77" i="31"/>
  <c r="H43" i="31"/>
  <c r="J86" i="31"/>
  <c r="L255" i="30"/>
  <c r="H272" i="30"/>
  <c r="J275" i="30"/>
  <c r="F277" i="30"/>
  <c r="H281" i="30"/>
  <c r="F8" i="31"/>
  <c r="L86" i="31"/>
  <c r="L79" i="31"/>
  <c r="L75" i="31"/>
  <c r="L42" i="31"/>
  <c r="L61" i="31"/>
  <c r="L58" i="31"/>
  <c r="L54" i="31"/>
  <c r="L37" i="31"/>
  <c r="L33" i="31"/>
  <c r="L64" i="31"/>
  <c r="L80" i="31"/>
  <c r="L76" i="31"/>
  <c r="L40" i="31"/>
  <c r="L30" i="31"/>
  <c r="L59" i="31"/>
  <c r="L55" i="31"/>
  <c r="L87" i="31"/>
  <c r="L43" i="31"/>
  <c r="L34" i="31"/>
  <c r="L85" i="31"/>
  <c r="L62" i="31"/>
  <c r="L83" i="31"/>
  <c r="L81" i="31"/>
  <c r="L77" i="31"/>
  <c r="L38" i="31"/>
  <c r="J57" i="31"/>
  <c r="J60" i="31"/>
  <c r="H81" i="31"/>
  <c r="F251" i="30"/>
  <c r="L252" i="30"/>
  <c r="H257" i="30"/>
  <c r="F259" i="30"/>
  <c r="L262" i="30"/>
  <c r="N273" i="30"/>
  <c r="J8" i="31"/>
  <c r="H8" i="31"/>
  <c r="N33" i="31"/>
  <c r="N80" i="31"/>
  <c r="N76" i="31"/>
  <c r="N55" i="31"/>
  <c r="N30" i="31"/>
  <c r="N34" i="31"/>
  <c r="N77" i="31"/>
  <c r="N56" i="31"/>
  <c r="N35" i="31"/>
  <c r="N31" i="31"/>
  <c r="N78" i="31"/>
  <c r="N36" i="31"/>
  <c r="F40" i="31"/>
  <c r="F64" i="31"/>
  <c r="H254" i="30"/>
  <c r="L275" i="30"/>
  <c r="H277" i="30"/>
  <c r="J281" i="30"/>
  <c r="H284" i="30"/>
  <c r="N54" i="31"/>
  <c r="L57" i="31"/>
  <c r="L60" i="31"/>
  <c r="F65" i="31"/>
  <c r="J78" i="31"/>
  <c r="F87" i="31"/>
  <c r="J263" i="30"/>
  <c r="H260" i="30"/>
  <c r="L258" i="30"/>
  <c r="F257" i="30"/>
  <c r="N255" i="30"/>
  <c r="J254" i="30"/>
  <c r="F253" i="30"/>
  <c r="N251" i="30"/>
  <c r="F263" i="30"/>
  <c r="J261" i="30"/>
  <c r="H258" i="30"/>
  <c r="N256" i="30"/>
  <c r="J255" i="30"/>
  <c r="F254" i="30"/>
  <c r="N252" i="30"/>
  <c r="J251" i="30"/>
  <c r="H251" i="30"/>
  <c r="J257" i="30"/>
  <c r="H259" i="30"/>
  <c r="F261" i="30"/>
  <c r="J279" i="30"/>
  <c r="H31" i="31"/>
  <c r="F34" i="31"/>
  <c r="L82" i="31"/>
  <c r="F274" i="30"/>
  <c r="N275" i="30"/>
  <c r="J284" i="30"/>
  <c r="N8" i="31"/>
  <c r="H41" i="31"/>
  <c r="N57" i="31"/>
  <c r="H65" i="31"/>
  <c r="L78" i="31"/>
  <c r="N76" i="33"/>
  <c r="N80" i="33"/>
  <c r="N77" i="33"/>
  <c r="N74" i="33"/>
  <c r="T5" i="42"/>
  <c r="R5" i="42"/>
  <c r="S5" i="42"/>
  <c r="Q5" i="42"/>
  <c r="P5" i="42"/>
  <c r="N17" i="35"/>
  <c r="N9" i="35"/>
  <c r="N12" i="35"/>
  <c r="N15" i="35"/>
  <c r="N18" i="35"/>
  <c r="N13" i="35"/>
  <c r="N16" i="35"/>
  <c r="N11" i="35"/>
  <c r="N36" i="33"/>
  <c r="N33" i="33"/>
  <c r="N30" i="33"/>
  <c r="N79" i="33"/>
  <c r="N32" i="33"/>
  <c r="N58" i="33"/>
  <c r="N55" i="33"/>
  <c r="N52" i="33"/>
  <c r="N34" i="33"/>
  <c r="N54" i="33"/>
  <c r="N56" i="33"/>
  <c r="N14" i="35"/>
  <c r="N75" i="33"/>
  <c r="V17" i="35"/>
  <c r="V18" i="35"/>
  <c r="V10" i="35"/>
  <c r="V13" i="35"/>
  <c r="V16" i="35"/>
  <c r="V9" i="35"/>
  <c r="V7" i="35"/>
  <c r="V12" i="35"/>
  <c r="V15" i="35"/>
  <c r="AV7" i="35"/>
  <c r="AR7" i="35"/>
  <c r="V8" i="35"/>
  <c r="H16" i="35"/>
  <c r="H8" i="35"/>
  <c r="H11" i="35"/>
  <c r="H14" i="35"/>
  <c r="H17" i="35"/>
  <c r="AS7" i="35"/>
  <c r="H10" i="35"/>
  <c r="H7" i="35"/>
  <c r="AT7" i="35"/>
  <c r="P5" i="36"/>
  <c r="AB11" i="35"/>
  <c r="AB14" i="35"/>
  <c r="AB17" i="35"/>
  <c r="AU7" i="35"/>
  <c r="AB8" i="35"/>
  <c r="AB12" i="35"/>
  <c r="AB7" i="35"/>
  <c r="AB15" i="35"/>
  <c r="Q5" i="36"/>
  <c r="I5" i="37"/>
  <c r="J5" i="37"/>
  <c r="AK29" i="35"/>
  <c r="I5" i="36"/>
  <c r="H5" i="39"/>
  <c r="K5" i="39"/>
  <c r="I5" i="39"/>
  <c r="G5" i="39"/>
  <c r="AJ7" i="35"/>
  <c r="AL29" i="35"/>
  <c r="J5" i="36"/>
  <c r="N135" i="44"/>
  <c r="C146" i="44"/>
  <c r="O135" i="44"/>
  <c r="AK7" i="35"/>
  <c r="C129" i="39"/>
  <c r="R5" i="39"/>
  <c r="Q5" i="39"/>
  <c r="P5" i="39"/>
  <c r="O5" i="39"/>
  <c r="S5" i="39"/>
  <c r="T5" i="39"/>
  <c r="G133" i="41"/>
  <c r="P5" i="37"/>
  <c r="H133" i="41"/>
  <c r="Q5" i="37"/>
  <c r="J5" i="41"/>
  <c r="I5" i="41"/>
  <c r="G133" i="42"/>
  <c r="L133" i="42"/>
  <c r="I133" i="42"/>
  <c r="H133" i="42"/>
  <c r="N133" i="41"/>
  <c r="M133" i="41"/>
  <c r="D146" i="44"/>
  <c r="H5" i="44"/>
  <c r="H133" i="40"/>
  <c r="L133" i="41"/>
  <c r="N135" i="43"/>
  <c r="C146" i="43"/>
  <c r="O135" i="43"/>
  <c r="I5" i="44"/>
  <c r="L5" i="39"/>
  <c r="I133" i="40"/>
  <c r="L5" i="41"/>
  <c r="O133" i="41"/>
  <c r="D146" i="43"/>
  <c r="M5" i="41"/>
  <c r="E146" i="43"/>
  <c r="N5" i="44"/>
  <c r="M5" i="44"/>
  <c r="H5" i="45"/>
  <c r="N5" i="41"/>
  <c r="M135" i="43"/>
  <c r="I135" i="43"/>
  <c r="H135" i="43"/>
  <c r="L5" i="44"/>
  <c r="I5" i="45"/>
  <c r="L133" i="40"/>
  <c r="T5" i="41"/>
  <c r="R5" i="41"/>
  <c r="P5" i="41"/>
  <c r="M133" i="40"/>
  <c r="Q5" i="41"/>
  <c r="F5" i="43"/>
  <c r="F13" i="43"/>
  <c r="F8" i="43"/>
  <c r="F14" i="43"/>
  <c r="F9" i="43"/>
  <c r="F10" i="43"/>
  <c r="F15" i="43"/>
  <c r="F11" i="43"/>
  <c r="F12" i="43"/>
  <c r="O123" i="39"/>
  <c r="M123" i="39"/>
  <c r="S5" i="40"/>
  <c r="S5" i="41"/>
  <c r="L5" i="43"/>
  <c r="J5" i="43"/>
  <c r="I5" i="43"/>
  <c r="H5" i="43"/>
  <c r="K123" i="39"/>
  <c r="P5" i="40"/>
  <c r="L123" i="39"/>
  <c r="Q5" i="40"/>
  <c r="G135" i="44"/>
  <c r="T5" i="44"/>
  <c r="R5" i="44"/>
  <c r="Q5" i="44"/>
  <c r="P5" i="44"/>
  <c r="F8" i="42"/>
  <c r="S5" i="44"/>
  <c r="M133" i="42"/>
  <c r="M5" i="43"/>
  <c r="N133" i="42"/>
  <c r="N5" i="43"/>
  <c r="T5" i="43"/>
  <c r="R5" i="43"/>
  <c r="H5" i="42"/>
  <c r="P5" i="43"/>
  <c r="Q5" i="43"/>
  <c r="Q5" i="45"/>
  <c r="I135" i="45"/>
  <c r="R5" i="45"/>
  <c r="T5" i="45"/>
  <c r="L135" i="43"/>
  <c r="H135" i="44"/>
  <c r="L5" i="45"/>
  <c r="M5" i="45"/>
  <c r="D16" i="43"/>
  <c r="G51" i="52" l="1"/>
  <c r="J8" i="52"/>
  <c r="H8" i="52"/>
  <c r="J30" i="52"/>
  <c r="H52" i="52"/>
  <c r="I227" i="51"/>
  <c r="I205" i="51"/>
  <c r="I73" i="51"/>
  <c r="I183" i="51"/>
  <c r="I29" i="51"/>
  <c r="I161" i="51"/>
  <c r="G7" i="51"/>
  <c r="J8" i="51" s="1"/>
  <c r="I95" i="51"/>
  <c r="I139" i="51"/>
  <c r="I117" i="51"/>
  <c r="I51" i="51"/>
  <c r="I253" i="51"/>
  <c r="E51" i="52"/>
  <c r="C7" i="52"/>
  <c r="E73" i="52"/>
  <c r="H74" i="52" s="1"/>
  <c r="E29" i="52"/>
  <c r="J52" i="52"/>
  <c r="L8" i="51"/>
  <c r="L74" i="52"/>
  <c r="L30" i="52"/>
  <c r="L52" i="52"/>
  <c r="C73" i="50"/>
  <c r="D74" i="50" s="1"/>
  <c r="E51" i="50"/>
  <c r="F52" i="50" s="1"/>
  <c r="C51" i="50"/>
  <c r="D52" i="50" s="1"/>
  <c r="E29" i="50"/>
  <c r="F30" i="50" s="1"/>
  <c r="D8" i="50"/>
  <c r="E73" i="50"/>
  <c r="F74" i="50" s="1"/>
  <c r="C29" i="50"/>
  <c r="D30" i="50" s="1"/>
  <c r="I29" i="49"/>
  <c r="J30" i="49" s="1"/>
  <c r="J8" i="49"/>
  <c r="G7" i="49"/>
  <c r="G161" i="49" s="1"/>
  <c r="H162" i="49" s="1"/>
  <c r="I205" i="49"/>
  <c r="J206" i="49" s="1"/>
  <c r="G249" i="49"/>
  <c r="H250" i="49" s="1"/>
  <c r="H8" i="49"/>
  <c r="G117" i="49"/>
  <c r="H118" i="49" s="1"/>
  <c r="G51" i="49"/>
  <c r="H52" i="49" s="1"/>
  <c r="G29" i="49"/>
  <c r="H30" i="49" s="1"/>
  <c r="G271" i="49"/>
  <c r="H272" i="49" s="1"/>
  <c r="G183" i="49"/>
  <c r="H184" i="49" s="1"/>
  <c r="G95" i="49"/>
  <c r="H96" i="49" s="1"/>
  <c r="G205" i="49"/>
  <c r="H206" i="49" s="1"/>
  <c r="G227" i="49"/>
  <c r="H228" i="49" s="1"/>
  <c r="G139" i="49"/>
  <c r="H140" i="49" s="1"/>
  <c r="E7" i="49"/>
  <c r="G73" i="49"/>
  <c r="H74" i="49" s="1"/>
  <c r="W20" i="16"/>
  <c r="G57" i="12"/>
  <c r="W12" i="16"/>
  <c r="K145" i="45"/>
  <c r="W11" i="16"/>
  <c r="W15" i="16"/>
  <c r="W18" i="16"/>
  <c r="W14" i="16"/>
  <c r="F57" i="12"/>
  <c r="K56" i="17"/>
  <c r="G140" i="45"/>
  <c r="I140" i="45"/>
  <c r="H140" i="45"/>
  <c r="K140" i="45" s="1"/>
  <c r="O136" i="45"/>
  <c r="N136" i="45"/>
  <c r="M136" i="45"/>
  <c r="J146" i="45"/>
  <c r="L136" i="45"/>
  <c r="M142" i="45"/>
  <c r="L142" i="45"/>
  <c r="O142" i="45"/>
  <c r="N142" i="45"/>
  <c r="I141" i="45"/>
  <c r="H141" i="45"/>
  <c r="G141" i="45"/>
  <c r="N137" i="45"/>
  <c r="M137" i="45"/>
  <c r="L137" i="45"/>
  <c r="O137" i="45"/>
  <c r="I136" i="45"/>
  <c r="F146" i="45"/>
  <c r="H136" i="45"/>
  <c r="K136" i="45" s="1"/>
  <c r="G136" i="45"/>
  <c r="O143" i="45"/>
  <c r="N143" i="45"/>
  <c r="M143" i="45"/>
  <c r="L143" i="45"/>
  <c r="Q11" i="43"/>
  <c r="P11" i="43"/>
  <c r="T11" i="43"/>
  <c r="S11" i="43"/>
  <c r="R11" i="43"/>
  <c r="L10" i="43"/>
  <c r="N10" i="43"/>
  <c r="M10" i="43"/>
  <c r="N11" i="43"/>
  <c r="M11" i="43"/>
  <c r="L11" i="43"/>
  <c r="J7" i="42"/>
  <c r="I7" i="42"/>
  <c r="H7" i="42"/>
  <c r="L12" i="43"/>
  <c r="N12" i="43"/>
  <c r="M12" i="43"/>
  <c r="K16" i="43"/>
  <c r="N6" i="43"/>
  <c r="M6" i="43"/>
  <c r="L6" i="43"/>
  <c r="L10" i="42"/>
  <c r="N10" i="42"/>
  <c r="M10" i="42"/>
  <c r="N9" i="42"/>
  <c r="L9" i="42"/>
  <c r="N8" i="42"/>
  <c r="L8" i="42"/>
  <c r="N7" i="42"/>
  <c r="M7" i="42"/>
  <c r="L7" i="42"/>
  <c r="AA20" i="40"/>
  <c r="O125" i="39"/>
  <c r="N125" i="39"/>
  <c r="M125" i="39"/>
  <c r="L125" i="39"/>
  <c r="K125" i="39"/>
  <c r="I8" i="43"/>
  <c r="H8" i="43"/>
  <c r="J8" i="43"/>
  <c r="J11" i="43"/>
  <c r="H11" i="43"/>
  <c r="I11" i="43"/>
  <c r="J15" i="43"/>
  <c r="I15" i="43"/>
  <c r="H15" i="43"/>
  <c r="J10" i="43"/>
  <c r="H10" i="43"/>
  <c r="I10" i="43"/>
  <c r="J9" i="43"/>
  <c r="I9" i="43"/>
  <c r="H9" i="43"/>
  <c r="H14" i="43"/>
  <c r="J14" i="43"/>
  <c r="I14" i="43"/>
  <c r="H12" i="43"/>
  <c r="J12" i="43"/>
  <c r="I12" i="43"/>
  <c r="N8" i="41"/>
  <c r="L8" i="41"/>
  <c r="S7" i="40"/>
  <c r="R7" i="40"/>
  <c r="Q7" i="40"/>
  <c r="AA19" i="40"/>
  <c r="T7" i="40"/>
  <c r="P7" i="40"/>
  <c r="Q8" i="40"/>
  <c r="P8" i="40"/>
  <c r="T8" i="40"/>
  <c r="S8" i="40"/>
  <c r="R8" i="40"/>
  <c r="T9" i="40"/>
  <c r="S9" i="40"/>
  <c r="R9" i="40"/>
  <c r="Q9" i="40"/>
  <c r="P9" i="40"/>
  <c r="L126" i="39"/>
  <c r="O126" i="39"/>
  <c r="N126" i="39"/>
  <c r="M126" i="39"/>
  <c r="K126" i="39"/>
  <c r="N134" i="41"/>
  <c r="M134" i="41"/>
  <c r="L134" i="41"/>
  <c r="K134" i="41"/>
  <c r="O134" i="41"/>
  <c r="P8" i="41"/>
  <c r="Q8" i="41"/>
  <c r="T8" i="41"/>
  <c r="S8" i="41"/>
  <c r="R8" i="41"/>
  <c r="H137" i="43"/>
  <c r="I137" i="43"/>
  <c r="G137" i="43"/>
  <c r="I144" i="43"/>
  <c r="H144" i="43"/>
  <c r="G144" i="43"/>
  <c r="I141" i="43"/>
  <c r="H141" i="43"/>
  <c r="G141" i="43"/>
  <c r="H136" i="43"/>
  <c r="K136" i="43" s="1"/>
  <c r="G136" i="43"/>
  <c r="F146" i="43"/>
  <c r="I136" i="43"/>
  <c r="H145" i="43"/>
  <c r="I145" i="43"/>
  <c r="G145" i="43"/>
  <c r="I139" i="43"/>
  <c r="H139" i="43"/>
  <c r="G139" i="43"/>
  <c r="G138" i="43"/>
  <c r="I138" i="43"/>
  <c r="H138" i="43"/>
  <c r="I143" i="43"/>
  <c r="H143" i="43"/>
  <c r="G143" i="43"/>
  <c r="N9" i="40"/>
  <c r="L9" i="40"/>
  <c r="N9" i="41"/>
  <c r="L9" i="41"/>
  <c r="T6" i="41"/>
  <c r="S6" i="41"/>
  <c r="R6" i="41"/>
  <c r="P6" i="41"/>
  <c r="Q6" i="41"/>
  <c r="G134" i="42"/>
  <c r="I134" i="42"/>
  <c r="H134" i="42"/>
  <c r="J8" i="41"/>
  <c r="M8" i="41"/>
  <c r="I8" i="41"/>
  <c r="H8" i="41"/>
  <c r="I7" i="41"/>
  <c r="H7" i="41"/>
  <c r="J7" i="41"/>
  <c r="M9" i="41"/>
  <c r="J9" i="41"/>
  <c r="H9" i="41"/>
  <c r="I9" i="41"/>
  <c r="J34" i="37"/>
  <c r="I34" i="37"/>
  <c r="Q32" i="37"/>
  <c r="P32" i="37"/>
  <c r="J31" i="37"/>
  <c r="I31" i="37"/>
  <c r="Q22" i="37"/>
  <c r="P22" i="37"/>
  <c r="Q10" i="37"/>
  <c r="P10" i="37"/>
  <c r="J8" i="37"/>
  <c r="I8" i="37"/>
  <c r="P40" i="37"/>
  <c r="Q40" i="37"/>
  <c r="Q29" i="37"/>
  <c r="P29" i="37"/>
  <c r="J28" i="37"/>
  <c r="I28" i="37"/>
  <c r="Q45" i="37"/>
  <c r="P45" i="37"/>
  <c r="J14" i="37"/>
  <c r="I14" i="37"/>
  <c r="J47" i="37"/>
  <c r="I47" i="37"/>
  <c r="Q38" i="37"/>
  <c r="P38" i="37"/>
  <c r="J18" i="37"/>
  <c r="I18" i="37"/>
  <c r="I49" i="37"/>
  <c r="J49" i="37"/>
  <c r="Q26" i="37"/>
  <c r="P26" i="37"/>
  <c r="J25" i="37"/>
  <c r="I25" i="37"/>
  <c r="Q16" i="37"/>
  <c r="P16" i="37"/>
  <c r="G134" i="41"/>
  <c r="I134" i="41"/>
  <c r="H134" i="41"/>
  <c r="J45" i="37"/>
  <c r="I45" i="37"/>
  <c r="I40" i="37"/>
  <c r="J40" i="37"/>
  <c r="Q36" i="37"/>
  <c r="P36" i="37"/>
  <c r="J32" i="37"/>
  <c r="I32" i="37"/>
  <c r="Q23" i="37"/>
  <c r="P23" i="37"/>
  <c r="J22" i="37"/>
  <c r="I22" i="37"/>
  <c r="P12" i="37"/>
  <c r="Q12" i="37"/>
  <c r="I10" i="37"/>
  <c r="J10" i="37"/>
  <c r="P18" i="37"/>
  <c r="Q18" i="37"/>
  <c r="Q34" i="37"/>
  <c r="P34" i="37"/>
  <c r="Q17" i="37"/>
  <c r="P17" i="37"/>
  <c r="P33" i="37"/>
  <c r="Q33" i="37"/>
  <c r="P48" i="37"/>
  <c r="Q48" i="37"/>
  <c r="Q46" i="37"/>
  <c r="P46" i="37"/>
  <c r="Q51" i="37"/>
  <c r="P51" i="37"/>
  <c r="Q11" i="37"/>
  <c r="P11" i="37"/>
  <c r="P28" i="37"/>
  <c r="Q28" i="37"/>
  <c r="P44" i="37"/>
  <c r="Q44" i="37"/>
  <c r="Q27" i="37"/>
  <c r="P27" i="37"/>
  <c r="Q43" i="37"/>
  <c r="P43" i="37"/>
  <c r="J35" i="37"/>
  <c r="I35" i="37"/>
  <c r="J29" i="37"/>
  <c r="I29" i="37"/>
  <c r="J15" i="37"/>
  <c r="I15" i="37"/>
  <c r="J38" i="37"/>
  <c r="I38" i="37"/>
  <c r="J19" i="37"/>
  <c r="I19" i="37"/>
  <c r="J11" i="37"/>
  <c r="I11" i="37"/>
  <c r="J33" i="37"/>
  <c r="I33" i="37"/>
  <c r="J23" i="37"/>
  <c r="I23" i="37"/>
  <c r="J46" i="37"/>
  <c r="I46" i="37"/>
  <c r="I27" i="37"/>
  <c r="J27" i="37"/>
  <c r="J43" i="37"/>
  <c r="I43" i="37"/>
  <c r="J9" i="37"/>
  <c r="I9" i="37"/>
  <c r="J26" i="37"/>
  <c r="I26" i="37"/>
  <c r="I42" i="37"/>
  <c r="J42" i="37"/>
  <c r="I51" i="37"/>
  <c r="J51" i="37"/>
  <c r="J41" i="37"/>
  <c r="I41" i="37"/>
  <c r="J39" i="37"/>
  <c r="I39" i="37"/>
  <c r="I21" i="37"/>
  <c r="J21" i="37"/>
  <c r="I37" i="37"/>
  <c r="J37" i="37"/>
  <c r="I20" i="37"/>
  <c r="J20" i="37"/>
  <c r="J36" i="37"/>
  <c r="I36" i="37"/>
  <c r="J50" i="37"/>
  <c r="I50" i="37"/>
  <c r="J48" i="37"/>
  <c r="I48" i="37"/>
  <c r="J16" i="37"/>
  <c r="I16" i="37"/>
  <c r="Q26" i="36"/>
  <c r="P26" i="36"/>
  <c r="Q24" i="36"/>
  <c r="P24" i="36"/>
  <c r="Q22" i="36"/>
  <c r="P22" i="36"/>
  <c r="J15" i="36"/>
  <c r="I15" i="36"/>
  <c r="I51" i="36"/>
  <c r="J51" i="36"/>
  <c r="I37" i="36"/>
  <c r="J37" i="36"/>
  <c r="P28" i="36"/>
  <c r="Q28" i="36"/>
  <c r="I9" i="36"/>
  <c r="J9" i="36"/>
  <c r="AK39" i="35"/>
  <c r="AL39" i="35"/>
  <c r="AK15" i="35"/>
  <c r="AJ15" i="35"/>
  <c r="AL15" i="35"/>
  <c r="Q20" i="37"/>
  <c r="P20" i="37"/>
  <c r="Q19" i="37"/>
  <c r="P19" i="37"/>
  <c r="J48" i="36"/>
  <c r="I48" i="36"/>
  <c r="Q43" i="36"/>
  <c r="P43" i="36"/>
  <c r="Q38" i="36"/>
  <c r="P38" i="36"/>
  <c r="Q11" i="36"/>
  <c r="P11" i="36"/>
  <c r="Q7" i="36"/>
  <c r="P7" i="36"/>
  <c r="J47" i="36"/>
  <c r="I47" i="36"/>
  <c r="J13" i="36"/>
  <c r="I13" i="36"/>
  <c r="J30" i="36"/>
  <c r="I30" i="36"/>
  <c r="J46" i="36"/>
  <c r="I46" i="36"/>
  <c r="J12" i="36"/>
  <c r="I12" i="36"/>
  <c r="J29" i="36"/>
  <c r="I29" i="36"/>
  <c r="J45" i="36"/>
  <c r="I45" i="36"/>
  <c r="I11" i="36"/>
  <c r="J11" i="36"/>
  <c r="J28" i="36"/>
  <c r="I28" i="36"/>
  <c r="J44" i="36"/>
  <c r="I44" i="36"/>
  <c r="J10" i="36"/>
  <c r="I10" i="36"/>
  <c r="J27" i="36"/>
  <c r="I27" i="36"/>
  <c r="J43" i="36"/>
  <c r="I43" i="36"/>
  <c r="I26" i="36"/>
  <c r="J26" i="36"/>
  <c r="J42" i="36"/>
  <c r="I42" i="36"/>
  <c r="J25" i="36"/>
  <c r="I25" i="36"/>
  <c r="J41" i="36"/>
  <c r="I41" i="36"/>
  <c r="I40" i="36"/>
  <c r="J40" i="36"/>
  <c r="J6" i="36"/>
  <c r="I6" i="36"/>
  <c r="J23" i="36"/>
  <c r="I23" i="36"/>
  <c r="J39" i="36"/>
  <c r="I39" i="36"/>
  <c r="AL32" i="35"/>
  <c r="AK32" i="35"/>
  <c r="AL18" i="35"/>
  <c r="AK18" i="35"/>
  <c r="AJ18" i="35"/>
  <c r="Q40" i="36"/>
  <c r="P40" i="36"/>
  <c r="AL35" i="35"/>
  <c r="AK35" i="35"/>
  <c r="J34" i="36"/>
  <c r="I34" i="36"/>
  <c r="I24" i="36"/>
  <c r="J24" i="36"/>
  <c r="AL38" i="35"/>
  <c r="AK38" i="35"/>
  <c r="J50" i="36"/>
  <c r="I50" i="36"/>
  <c r="Q45" i="36"/>
  <c r="P45" i="36"/>
  <c r="J22" i="36"/>
  <c r="I22" i="36"/>
  <c r="J20" i="36"/>
  <c r="I20" i="36"/>
  <c r="J18" i="36"/>
  <c r="I18" i="36"/>
  <c r="J16" i="36"/>
  <c r="I16" i="36"/>
  <c r="P14" i="36"/>
  <c r="Q14" i="36"/>
  <c r="Q8" i="36"/>
  <c r="P8" i="36"/>
  <c r="Q27" i="36"/>
  <c r="P27" i="36"/>
  <c r="Q25" i="36"/>
  <c r="P25" i="36"/>
  <c r="Q23" i="36"/>
  <c r="P23" i="36"/>
  <c r="Q42" i="36"/>
  <c r="P42" i="36"/>
  <c r="J38" i="36"/>
  <c r="I38" i="36"/>
  <c r="Q29" i="36"/>
  <c r="P29" i="36"/>
  <c r="Q39" i="36"/>
  <c r="P39" i="36"/>
  <c r="Q21" i="36"/>
  <c r="P21" i="36"/>
  <c r="Q37" i="36"/>
  <c r="P37" i="36"/>
  <c r="Q20" i="36"/>
  <c r="P20" i="36"/>
  <c r="Q36" i="36"/>
  <c r="P36" i="36"/>
  <c r="Q19" i="36"/>
  <c r="P19" i="36"/>
  <c r="Q35" i="36"/>
  <c r="P35" i="36"/>
  <c r="Q51" i="36"/>
  <c r="P51" i="36"/>
  <c r="Q18" i="36"/>
  <c r="P18" i="36"/>
  <c r="Q34" i="36"/>
  <c r="P34" i="36"/>
  <c r="Q50" i="36"/>
  <c r="P50" i="36"/>
  <c r="P17" i="36"/>
  <c r="Q17" i="36"/>
  <c r="Q33" i="36"/>
  <c r="P33" i="36"/>
  <c r="Q49" i="36"/>
  <c r="P49" i="36"/>
  <c r="Q15" i="36"/>
  <c r="P15" i="36"/>
  <c r="Q16" i="36"/>
  <c r="P16" i="36"/>
  <c r="Q32" i="36"/>
  <c r="P32" i="36"/>
  <c r="Q48" i="36"/>
  <c r="P48" i="36"/>
  <c r="P31" i="36"/>
  <c r="Q31" i="36"/>
  <c r="P47" i="36"/>
  <c r="Q47" i="36"/>
  <c r="Q13" i="36"/>
  <c r="P13" i="36"/>
  <c r="Q30" i="36"/>
  <c r="P30" i="36"/>
  <c r="P46" i="36"/>
  <c r="Q46" i="36"/>
  <c r="AV17" i="35"/>
  <c r="AU17" i="35"/>
  <c r="AT17" i="35"/>
  <c r="AS17" i="35"/>
  <c r="AR17" i="35"/>
  <c r="AU14" i="35"/>
  <c r="AT14" i="35"/>
  <c r="AS14" i="35"/>
  <c r="AR14" i="35"/>
  <c r="AV14" i="35"/>
  <c r="AS11" i="35"/>
  <c r="AR11" i="35"/>
  <c r="AQ22" i="35"/>
  <c r="AV11" i="35"/>
  <c r="AU11" i="35"/>
  <c r="AT11" i="35"/>
  <c r="AV8" i="35"/>
  <c r="AU8" i="35"/>
  <c r="AT8" i="35"/>
  <c r="AS8" i="35"/>
  <c r="AR8" i="35"/>
  <c r="AV16" i="35"/>
  <c r="AU16" i="35"/>
  <c r="AT16" i="35"/>
  <c r="AS16" i="35"/>
  <c r="AR16" i="35"/>
  <c r="AV15" i="35"/>
  <c r="AU15" i="35"/>
  <c r="AT15" i="35"/>
  <c r="AS15" i="35"/>
  <c r="AR15" i="35"/>
  <c r="J17" i="36"/>
  <c r="I17" i="36"/>
  <c r="R7" i="42"/>
  <c r="P7" i="42"/>
  <c r="AA19" i="42"/>
  <c r="S7" i="42"/>
  <c r="T7" i="42"/>
  <c r="Q7" i="42"/>
  <c r="P8" i="42"/>
  <c r="T8" i="42"/>
  <c r="S8" i="42"/>
  <c r="R8" i="42"/>
  <c r="Q8" i="42"/>
  <c r="T6" i="42"/>
  <c r="R6" i="42"/>
  <c r="P6" i="42"/>
  <c r="S6" i="42"/>
  <c r="Q6" i="42"/>
  <c r="AA20" i="42"/>
  <c r="Q10" i="42"/>
  <c r="P10" i="42"/>
  <c r="R10" i="42"/>
  <c r="T10" i="42"/>
  <c r="S10" i="42"/>
  <c r="P9" i="42"/>
  <c r="T9" i="42"/>
  <c r="S9" i="42"/>
  <c r="R9" i="42"/>
  <c r="Q9" i="42"/>
  <c r="J19" i="36"/>
  <c r="I19" i="36"/>
  <c r="W35" i="35"/>
  <c r="V35" i="35"/>
  <c r="W32" i="35"/>
  <c r="V32" i="35"/>
  <c r="W39" i="35"/>
  <c r="V39" i="35"/>
  <c r="V38" i="35"/>
  <c r="W38" i="35"/>
  <c r="W36" i="35"/>
  <c r="V36" i="35"/>
  <c r="W33" i="35"/>
  <c r="V33" i="35"/>
  <c r="W30" i="35"/>
  <c r="V30" i="35"/>
  <c r="W40" i="35"/>
  <c r="V40" i="35"/>
  <c r="W37" i="35"/>
  <c r="V37" i="35"/>
  <c r="V34" i="35"/>
  <c r="W34" i="35"/>
  <c r="W31" i="35"/>
  <c r="V31" i="35"/>
  <c r="L129" i="28"/>
  <c r="M129" i="28"/>
  <c r="K129" i="28"/>
  <c r="I129" i="28"/>
  <c r="J129" i="28"/>
  <c r="M18" i="28"/>
  <c r="L18" i="28"/>
  <c r="J18" i="28"/>
  <c r="K18" i="28"/>
  <c r="I18" i="28"/>
  <c r="M81" i="28"/>
  <c r="K81" i="28"/>
  <c r="J81" i="28"/>
  <c r="I81" i="28"/>
  <c r="L81" i="28"/>
  <c r="I15" i="28"/>
  <c r="M15" i="28"/>
  <c r="K15" i="28"/>
  <c r="L15" i="28"/>
  <c r="J15" i="28"/>
  <c r="L60" i="28"/>
  <c r="J60" i="28"/>
  <c r="K60" i="28"/>
  <c r="I60" i="28"/>
  <c r="M60" i="28"/>
  <c r="J32" i="28"/>
  <c r="I32" i="28"/>
  <c r="L32" i="28"/>
  <c r="M32" i="28"/>
  <c r="K32" i="28"/>
  <c r="J29" i="28"/>
  <c r="I29" i="28"/>
  <c r="L29" i="28"/>
  <c r="M29" i="28"/>
  <c r="K29" i="28"/>
  <c r="J12" i="28"/>
  <c r="I12" i="28"/>
  <c r="H20" i="28"/>
  <c r="L12" i="28"/>
  <c r="M12" i="28"/>
  <c r="K12" i="28"/>
  <c r="H34" i="28"/>
  <c r="K26" i="28"/>
  <c r="J26" i="28"/>
  <c r="I26" i="28"/>
  <c r="M26" i="28"/>
  <c r="L26" i="28"/>
  <c r="K9" i="28"/>
  <c r="J9" i="28"/>
  <c r="I9" i="28"/>
  <c r="M9" i="28"/>
  <c r="L9" i="28"/>
  <c r="L23" i="28"/>
  <c r="K23" i="28"/>
  <c r="J23" i="28"/>
  <c r="I23" i="28"/>
  <c r="M23" i="28"/>
  <c r="M98" i="28"/>
  <c r="L98" i="28"/>
  <c r="K98" i="28"/>
  <c r="J98" i="28"/>
  <c r="I98" i="28"/>
  <c r="M59" i="28"/>
  <c r="L59" i="28"/>
  <c r="K59" i="28"/>
  <c r="J59" i="28"/>
  <c r="I59" i="28"/>
  <c r="M38" i="28"/>
  <c r="K38" i="28"/>
  <c r="L38" i="28"/>
  <c r="J38" i="28"/>
  <c r="I38" i="28"/>
  <c r="M36" i="28"/>
  <c r="L36" i="28"/>
  <c r="K36" i="28"/>
  <c r="J36" i="28"/>
  <c r="I36" i="28"/>
  <c r="M19" i="28"/>
  <c r="L19" i="28"/>
  <c r="K19" i="28"/>
  <c r="J19" i="28"/>
  <c r="I19" i="28"/>
  <c r="M140" i="28"/>
  <c r="L140" i="28"/>
  <c r="K140" i="28"/>
  <c r="I140" i="28"/>
  <c r="J140" i="28"/>
  <c r="M64" i="28"/>
  <c r="K64" i="28"/>
  <c r="I64" i="28"/>
  <c r="L64" i="28"/>
  <c r="J64" i="28"/>
  <c r="M16" i="28"/>
  <c r="L16" i="28"/>
  <c r="K16" i="28"/>
  <c r="J16" i="28"/>
  <c r="I16" i="28"/>
  <c r="K122" i="28"/>
  <c r="I122" i="28"/>
  <c r="M122" i="28"/>
  <c r="L122" i="28"/>
  <c r="J122" i="28"/>
  <c r="K46" i="28"/>
  <c r="I46" i="28"/>
  <c r="M46" i="28"/>
  <c r="L46" i="28"/>
  <c r="J46" i="28"/>
  <c r="M30" i="28"/>
  <c r="L30" i="28"/>
  <c r="K30" i="28"/>
  <c r="J30" i="28"/>
  <c r="I30" i="28"/>
  <c r="M13" i="28"/>
  <c r="L13" i="28"/>
  <c r="K13" i="28"/>
  <c r="J13" i="28"/>
  <c r="I13" i="28"/>
  <c r="M157" i="28"/>
  <c r="L157" i="28"/>
  <c r="K157" i="28"/>
  <c r="I157" i="28"/>
  <c r="J157" i="28"/>
  <c r="M109" i="28"/>
  <c r="L109" i="28"/>
  <c r="K109" i="28"/>
  <c r="I109" i="28"/>
  <c r="J109" i="28"/>
  <c r="L43" i="28"/>
  <c r="M43" i="28"/>
  <c r="K43" i="28"/>
  <c r="J43" i="28"/>
  <c r="I43" i="28"/>
  <c r="M33" i="28"/>
  <c r="L33" i="28"/>
  <c r="K33" i="28"/>
  <c r="J33" i="28"/>
  <c r="I33" i="28"/>
  <c r="M27" i="28"/>
  <c r="L27" i="28"/>
  <c r="K27" i="28"/>
  <c r="J27" i="28"/>
  <c r="I27" i="28"/>
  <c r="M10" i="28"/>
  <c r="L10" i="28"/>
  <c r="K10" i="28"/>
  <c r="J10" i="28"/>
  <c r="I10" i="28"/>
  <c r="M136" i="28"/>
  <c r="L136" i="28"/>
  <c r="J136" i="28"/>
  <c r="K136" i="28"/>
  <c r="I136" i="28"/>
  <c r="H48" i="28"/>
  <c r="M40" i="28"/>
  <c r="L40" i="28"/>
  <c r="K40" i="28"/>
  <c r="J40" i="28"/>
  <c r="I40" i="28"/>
  <c r="M24" i="28"/>
  <c r="L24" i="28"/>
  <c r="K24" i="28"/>
  <c r="J24" i="28"/>
  <c r="I24" i="28"/>
  <c r="L78" i="28"/>
  <c r="K78" i="28"/>
  <c r="J78" i="28"/>
  <c r="M78" i="28"/>
  <c r="I78" i="28"/>
  <c r="M95" i="28"/>
  <c r="L95" i="28"/>
  <c r="K95" i="28"/>
  <c r="J95" i="28"/>
  <c r="I95" i="28"/>
  <c r="M112" i="28"/>
  <c r="L112" i="28"/>
  <c r="K112" i="28"/>
  <c r="J112" i="28"/>
  <c r="I112" i="28"/>
  <c r="M148" i="28"/>
  <c r="L148" i="28"/>
  <c r="K148" i="28"/>
  <c r="J148" i="28"/>
  <c r="I148" i="28"/>
  <c r="M150" i="28"/>
  <c r="L150" i="28"/>
  <c r="K150" i="28"/>
  <c r="J150" i="28"/>
  <c r="I150" i="28"/>
  <c r="M50" i="28"/>
  <c r="J50" i="28"/>
  <c r="L50" i="28"/>
  <c r="K50" i="28"/>
  <c r="I50" i="28"/>
  <c r="M67" i="28"/>
  <c r="L67" i="28"/>
  <c r="J67" i="28"/>
  <c r="K67" i="28"/>
  <c r="I67" i="28"/>
  <c r="M84" i="28"/>
  <c r="L84" i="28"/>
  <c r="J84" i="28"/>
  <c r="I84" i="28"/>
  <c r="K84" i="28"/>
  <c r="M101" i="28"/>
  <c r="L101" i="28"/>
  <c r="K101" i="28"/>
  <c r="J101" i="28"/>
  <c r="I101" i="28"/>
  <c r="M70" i="28"/>
  <c r="L70" i="28"/>
  <c r="K70" i="28"/>
  <c r="I70" i="28"/>
  <c r="J70" i="28"/>
  <c r="M87" i="28"/>
  <c r="L87" i="28"/>
  <c r="K87" i="28"/>
  <c r="I87" i="28"/>
  <c r="J87" i="28"/>
  <c r="H132" i="28"/>
  <c r="M124" i="28"/>
  <c r="L124" i="28"/>
  <c r="K124" i="28"/>
  <c r="J124" i="28"/>
  <c r="I124" i="28"/>
  <c r="M39" i="28"/>
  <c r="L39" i="28"/>
  <c r="K39" i="28"/>
  <c r="J39" i="28"/>
  <c r="I39" i="28"/>
  <c r="M56" i="28"/>
  <c r="L56" i="28"/>
  <c r="K56" i="28"/>
  <c r="J56" i="28"/>
  <c r="I56" i="28"/>
  <c r="M73" i="28"/>
  <c r="L73" i="28"/>
  <c r="K73" i="28"/>
  <c r="J73" i="28"/>
  <c r="I73" i="28"/>
  <c r="M108" i="28"/>
  <c r="L108" i="28"/>
  <c r="K108" i="28"/>
  <c r="J108" i="28"/>
  <c r="I108" i="28"/>
  <c r="M94" i="28"/>
  <c r="L94" i="28"/>
  <c r="K94" i="28"/>
  <c r="J94" i="28"/>
  <c r="I94" i="28"/>
  <c r="M111" i="28"/>
  <c r="L111" i="28"/>
  <c r="K111" i="28"/>
  <c r="J111" i="28"/>
  <c r="I111" i="28"/>
  <c r="M151" i="28"/>
  <c r="L151" i="28"/>
  <c r="K151" i="28"/>
  <c r="J151" i="28"/>
  <c r="I151" i="28"/>
  <c r="M153" i="28"/>
  <c r="L153" i="28"/>
  <c r="K153" i="28"/>
  <c r="J153" i="28"/>
  <c r="I153" i="28"/>
  <c r="M80" i="28"/>
  <c r="L80" i="28"/>
  <c r="K80" i="28"/>
  <c r="J80" i="28"/>
  <c r="I80" i="28"/>
  <c r="M97" i="28"/>
  <c r="L97" i="28"/>
  <c r="K97" i="28"/>
  <c r="J97" i="28"/>
  <c r="I97" i="28"/>
  <c r="M114" i="28"/>
  <c r="L114" i="28"/>
  <c r="K114" i="28"/>
  <c r="J114" i="28"/>
  <c r="I114" i="28"/>
  <c r="M121" i="28"/>
  <c r="L121" i="28"/>
  <c r="K121" i="28"/>
  <c r="J121" i="28"/>
  <c r="I121" i="28"/>
  <c r="M126" i="28"/>
  <c r="L126" i="28"/>
  <c r="K126" i="28"/>
  <c r="J126" i="28"/>
  <c r="I126" i="28"/>
  <c r="M130" i="28"/>
  <c r="L130" i="28"/>
  <c r="K130" i="28"/>
  <c r="J130" i="28"/>
  <c r="I130" i="28"/>
  <c r="M143" i="28"/>
  <c r="L143" i="28"/>
  <c r="K143" i="28"/>
  <c r="J143" i="28"/>
  <c r="I143" i="28"/>
  <c r="M66" i="28"/>
  <c r="L66" i="28"/>
  <c r="K66" i="28"/>
  <c r="J66" i="28"/>
  <c r="I66" i="28"/>
  <c r="M83" i="28"/>
  <c r="L83" i="28"/>
  <c r="K83" i="28"/>
  <c r="J83" i="28"/>
  <c r="I83" i="28"/>
  <c r="M100" i="28"/>
  <c r="L100" i="28"/>
  <c r="K100" i="28"/>
  <c r="J100" i="28"/>
  <c r="I100" i="28"/>
  <c r="M117" i="28"/>
  <c r="L117" i="28"/>
  <c r="K117" i="28"/>
  <c r="J117" i="28"/>
  <c r="I117" i="28"/>
  <c r="L128" i="28"/>
  <c r="J128" i="28"/>
  <c r="I128" i="28"/>
  <c r="M128" i="28"/>
  <c r="K128" i="28"/>
  <c r="M52" i="28"/>
  <c r="L52" i="28"/>
  <c r="K52" i="28"/>
  <c r="J52" i="28"/>
  <c r="I52" i="28"/>
  <c r="M69" i="28"/>
  <c r="L69" i="28"/>
  <c r="K69" i="28"/>
  <c r="J69" i="28"/>
  <c r="I69" i="28"/>
  <c r="M86" i="28"/>
  <c r="L86" i="28"/>
  <c r="K86" i="28"/>
  <c r="J86" i="28"/>
  <c r="I86" i="28"/>
  <c r="M103" i="28"/>
  <c r="L103" i="28"/>
  <c r="K103" i="28"/>
  <c r="J103" i="28"/>
  <c r="I103" i="28"/>
  <c r="M137" i="28"/>
  <c r="L137" i="28"/>
  <c r="K137" i="28"/>
  <c r="J137" i="28"/>
  <c r="I137" i="28"/>
  <c r="M55" i="28"/>
  <c r="L55" i="28"/>
  <c r="K55" i="28"/>
  <c r="J55" i="28"/>
  <c r="I55" i="28"/>
  <c r="M72" i="28"/>
  <c r="L72" i="28"/>
  <c r="K72" i="28"/>
  <c r="J72" i="28"/>
  <c r="I72" i="28"/>
  <c r="M89" i="28"/>
  <c r="L89" i="28"/>
  <c r="K89" i="28"/>
  <c r="J89" i="28"/>
  <c r="I89" i="28"/>
  <c r="M107" i="28"/>
  <c r="L107" i="28"/>
  <c r="K107" i="28"/>
  <c r="J107" i="28"/>
  <c r="I107" i="28"/>
  <c r="M139" i="28"/>
  <c r="L139" i="28"/>
  <c r="K139" i="28"/>
  <c r="I139" i="28"/>
  <c r="J139" i="28"/>
  <c r="L41" i="28"/>
  <c r="J41" i="28"/>
  <c r="I41" i="28"/>
  <c r="M41" i="28"/>
  <c r="K41" i="28"/>
  <c r="L58" i="28"/>
  <c r="K58" i="28"/>
  <c r="J58" i="28"/>
  <c r="I58" i="28"/>
  <c r="M58" i="28"/>
  <c r="L75" i="28"/>
  <c r="K75" i="28"/>
  <c r="J75" i="28"/>
  <c r="I75" i="28"/>
  <c r="M75" i="28"/>
  <c r="L93" i="28"/>
  <c r="K93" i="28"/>
  <c r="J93" i="28"/>
  <c r="I93" i="28"/>
  <c r="M93" i="28"/>
  <c r="L110" i="28"/>
  <c r="K110" i="28"/>
  <c r="J110" i="28"/>
  <c r="I110" i="28"/>
  <c r="H118" i="28"/>
  <c r="M110" i="28"/>
  <c r="L123" i="28"/>
  <c r="K123" i="28"/>
  <c r="J123" i="28"/>
  <c r="I123" i="28"/>
  <c r="M123" i="28"/>
  <c r="L154" i="28"/>
  <c r="K154" i="28"/>
  <c r="J154" i="28"/>
  <c r="I154" i="28"/>
  <c r="M154" i="28"/>
  <c r="M156" i="28"/>
  <c r="L156" i="28"/>
  <c r="K156" i="28"/>
  <c r="J156" i="28"/>
  <c r="I156" i="28"/>
  <c r="K44" i="28"/>
  <c r="I44" i="28"/>
  <c r="M44" i="28"/>
  <c r="L44" i="28"/>
  <c r="J44" i="28"/>
  <c r="K61" i="28"/>
  <c r="J61" i="28"/>
  <c r="I61" i="28"/>
  <c r="M61" i="28"/>
  <c r="L61" i="28"/>
  <c r="K79" i="28"/>
  <c r="J79" i="28"/>
  <c r="I79" i="28"/>
  <c r="M79" i="28"/>
  <c r="L79" i="28"/>
  <c r="K96" i="28"/>
  <c r="J96" i="28"/>
  <c r="I96" i="28"/>
  <c r="H104" i="28"/>
  <c r="M96" i="28"/>
  <c r="L96" i="28"/>
  <c r="K113" i="28"/>
  <c r="J113" i="28"/>
  <c r="I113" i="28"/>
  <c r="M113" i="28"/>
  <c r="L113" i="28"/>
  <c r="K144" i="28"/>
  <c r="J144" i="28"/>
  <c r="I144" i="28"/>
  <c r="M144" i="28"/>
  <c r="L144" i="28"/>
  <c r="J47" i="28"/>
  <c r="I47" i="28"/>
  <c r="M47" i="28"/>
  <c r="L47" i="28"/>
  <c r="K47" i="28"/>
  <c r="J65" i="28"/>
  <c r="I65" i="28"/>
  <c r="M65" i="28"/>
  <c r="L65" i="28"/>
  <c r="K65" i="28"/>
  <c r="J82" i="28"/>
  <c r="I82" i="28"/>
  <c r="H90" i="28"/>
  <c r="L82" i="28"/>
  <c r="M82" i="28"/>
  <c r="K82" i="28"/>
  <c r="J99" i="28"/>
  <c r="I99" i="28"/>
  <c r="L99" i="28"/>
  <c r="M99" i="28"/>
  <c r="K99" i="28"/>
  <c r="J116" i="28"/>
  <c r="I116" i="28"/>
  <c r="L116" i="28"/>
  <c r="K116" i="28"/>
  <c r="M116" i="28"/>
  <c r="I51" i="28"/>
  <c r="M51" i="28"/>
  <c r="L51" i="28"/>
  <c r="K51" i="28"/>
  <c r="J51" i="28"/>
  <c r="I68" i="28"/>
  <c r="M68" i="28"/>
  <c r="K68" i="28"/>
  <c r="H76" i="28"/>
  <c r="L68" i="28"/>
  <c r="J68" i="28"/>
  <c r="I85" i="28"/>
  <c r="M85" i="28"/>
  <c r="K85" i="28"/>
  <c r="L85" i="28"/>
  <c r="J85" i="28"/>
  <c r="I102" i="28"/>
  <c r="M102" i="28"/>
  <c r="K102" i="28"/>
  <c r="J102" i="28"/>
  <c r="L102" i="28"/>
  <c r="I120" i="28"/>
  <c r="M120" i="28"/>
  <c r="K120" i="28"/>
  <c r="L120" i="28"/>
  <c r="J120" i="28"/>
  <c r="I127" i="28"/>
  <c r="M127" i="28"/>
  <c r="K127" i="28"/>
  <c r="L127" i="28"/>
  <c r="J127" i="28"/>
  <c r="H62" i="28"/>
  <c r="L54" i="28"/>
  <c r="M54" i="28"/>
  <c r="K54" i="28"/>
  <c r="J54" i="28"/>
  <c r="I54" i="28"/>
  <c r="M71" i="28"/>
  <c r="L71" i="28"/>
  <c r="J71" i="28"/>
  <c r="K71" i="28"/>
  <c r="I71" i="28"/>
  <c r="M88" i="28"/>
  <c r="L88" i="28"/>
  <c r="J88" i="28"/>
  <c r="K88" i="28"/>
  <c r="I88" i="28"/>
  <c r="M106" i="28"/>
  <c r="L106" i="28"/>
  <c r="J106" i="28"/>
  <c r="K106" i="28"/>
  <c r="I106" i="28"/>
  <c r="M125" i="28"/>
  <c r="J125" i="28"/>
  <c r="I125" i="28"/>
  <c r="L125" i="28"/>
  <c r="K125" i="28"/>
  <c r="M142" i="28"/>
  <c r="L142" i="28"/>
  <c r="K142" i="28"/>
  <c r="J142" i="28"/>
  <c r="I142" i="28"/>
  <c r="M159" i="28"/>
  <c r="L159" i="28"/>
  <c r="K159" i="28"/>
  <c r="J159" i="28"/>
  <c r="I159" i="28"/>
  <c r="L145" i="28"/>
  <c r="K145" i="28"/>
  <c r="J145" i="28"/>
  <c r="I145" i="28"/>
  <c r="M145" i="28"/>
  <c r="K131" i="28"/>
  <c r="I131" i="28"/>
  <c r="M131" i="28"/>
  <c r="J131" i="28"/>
  <c r="L131" i="28"/>
  <c r="K149" i="28"/>
  <c r="J149" i="28"/>
  <c r="I149" i="28"/>
  <c r="M149" i="28"/>
  <c r="L149" i="28"/>
  <c r="J135" i="28"/>
  <c r="M135" i="28"/>
  <c r="L135" i="28"/>
  <c r="K135" i="28"/>
  <c r="I135" i="28"/>
  <c r="J152" i="28"/>
  <c r="I152" i="28"/>
  <c r="L152" i="28"/>
  <c r="K152" i="28"/>
  <c r="H160" i="28"/>
  <c r="M152" i="28"/>
  <c r="I138" i="28"/>
  <c r="H146" i="28"/>
  <c r="M138" i="28"/>
  <c r="L138" i="28"/>
  <c r="J138" i="28"/>
  <c r="K138" i="28"/>
  <c r="I155" i="28"/>
  <c r="M155" i="28"/>
  <c r="L155" i="28"/>
  <c r="K155" i="28"/>
  <c r="J155" i="28"/>
  <c r="M141" i="28"/>
  <c r="L141" i="28"/>
  <c r="K141" i="28"/>
  <c r="J141" i="28"/>
  <c r="I141" i="28"/>
  <c r="M158" i="28"/>
  <c r="L158" i="28"/>
  <c r="K158" i="28"/>
  <c r="J158" i="28"/>
  <c r="I158" i="28"/>
  <c r="M17" i="28"/>
  <c r="L17" i="28"/>
  <c r="K17" i="28"/>
  <c r="J17" i="28"/>
  <c r="I17" i="28"/>
  <c r="M134" i="28"/>
  <c r="L134" i="28"/>
  <c r="K134" i="28"/>
  <c r="I134" i="28"/>
  <c r="J134" i="28"/>
  <c r="M42" i="28"/>
  <c r="L42" i="28"/>
  <c r="K42" i="28"/>
  <c r="J42" i="28"/>
  <c r="I42" i="28"/>
  <c r="M31" i="28"/>
  <c r="L31" i="28"/>
  <c r="K31" i="28"/>
  <c r="J31" i="28"/>
  <c r="I31" i="28"/>
  <c r="M14" i="28"/>
  <c r="L14" i="28"/>
  <c r="K14" i="28"/>
  <c r="J14" i="28"/>
  <c r="I14" i="28"/>
  <c r="M92" i="28"/>
  <c r="L92" i="28"/>
  <c r="K92" i="28"/>
  <c r="I92" i="28"/>
  <c r="J92" i="28"/>
  <c r="M74" i="28"/>
  <c r="L74" i="28"/>
  <c r="K74" i="28"/>
  <c r="I74" i="28"/>
  <c r="J74" i="28"/>
  <c r="M53" i="28"/>
  <c r="L53" i="28"/>
  <c r="I53" i="28"/>
  <c r="K53" i="28"/>
  <c r="J53" i="28"/>
  <c r="M25" i="28"/>
  <c r="L25" i="28"/>
  <c r="K25" i="28"/>
  <c r="J25" i="28"/>
  <c r="I25" i="28"/>
  <c r="M8" i="28"/>
  <c r="L8" i="28"/>
  <c r="K8" i="28"/>
  <c r="J8" i="28"/>
  <c r="I8" i="28"/>
  <c r="K148" i="27"/>
  <c r="I148" i="27"/>
  <c r="J148" i="27"/>
  <c r="H118" i="27"/>
  <c r="K110" i="27"/>
  <c r="J110" i="27"/>
  <c r="I110" i="27"/>
  <c r="H62" i="27"/>
  <c r="J54" i="27"/>
  <c r="K54" i="27"/>
  <c r="I54" i="27"/>
  <c r="J44" i="27"/>
  <c r="K44" i="27"/>
  <c r="I44" i="27"/>
  <c r="J27" i="27"/>
  <c r="K27" i="27"/>
  <c r="I27" i="27"/>
  <c r="J10" i="27"/>
  <c r="K10" i="27"/>
  <c r="I10" i="27"/>
  <c r="I61" i="27"/>
  <c r="K61" i="27"/>
  <c r="J61" i="27"/>
  <c r="I17" i="27"/>
  <c r="K17" i="27"/>
  <c r="J17" i="27"/>
  <c r="K130" i="27"/>
  <c r="I130" i="27"/>
  <c r="J130" i="27"/>
  <c r="K60" i="27"/>
  <c r="J60" i="27"/>
  <c r="I60" i="27"/>
  <c r="J42" i="27"/>
  <c r="I42" i="27"/>
  <c r="K42" i="27"/>
  <c r="J25" i="27"/>
  <c r="I25" i="27"/>
  <c r="K25" i="27"/>
  <c r="J8" i="27"/>
  <c r="I8" i="27"/>
  <c r="K8" i="27"/>
  <c r="K32" i="27"/>
  <c r="J32" i="27"/>
  <c r="I32" i="27"/>
  <c r="K15" i="27"/>
  <c r="J15" i="27"/>
  <c r="I15" i="27"/>
  <c r="I79" i="27"/>
  <c r="K79" i="27"/>
  <c r="J79" i="27"/>
  <c r="I73" i="27"/>
  <c r="K73" i="27"/>
  <c r="J73" i="27"/>
  <c r="H76" i="27"/>
  <c r="K68" i="27"/>
  <c r="J68" i="27"/>
  <c r="I68" i="27"/>
  <c r="K50" i="27"/>
  <c r="J50" i="27"/>
  <c r="I50" i="27"/>
  <c r="K40" i="27"/>
  <c r="J40" i="27"/>
  <c r="I40" i="27"/>
  <c r="H48" i="27"/>
  <c r="K23" i="27"/>
  <c r="J23" i="27"/>
  <c r="I23" i="27"/>
  <c r="K78" i="27"/>
  <c r="J78" i="27"/>
  <c r="I78" i="27"/>
  <c r="K47" i="27"/>
  <c r="J47" i="27"/>
  <c r="I47" i="27"/>
  <c r="K30" i="27"/>
  <c r="J30" i="27"/>
  <c r="I30" i="27"/>
  <c r="K13" i="27"/>
  <c r="J13" i="27"/>
  <c r="I13" i="27"/>
  <c r="J115" i="27"/>
  <c r="I115" i="27"/>
  <c r="K115" i="27"/>
  <c r="K56" i="27"/>
  <c r="J56" i="27"/>
  <c r="I56" i="27"/>
  <c r="K38" i="27"/>
  <c r="J38" i="27"/>
  <c r="I38" i="27"/>
  <c r="K93" i="27"/>
  <c r="J93" i="27"/>
  <c r="I93" i="27"/>
  <c r="K64" i="27"/>
  <c r="J64" i="27"/>
  <c r="I64" i="27"/>
  <c r="K45" i="27"/>
  <c r="J45" i="27"/>
  <c r="I45" i="27"/>
  <c r="K28" i="27"/>
  <c r="J28" i="27"/>
  <c r="I28" i="27"/>
  <c r="K11" i="27"/>
  <c r="J11" i="27"/>
  <c r="I11" i="27"/>
  <c r="K36" i="27"/>
  <c r="J36" i="27"/>
  <c r="I36" i="27"/>
  <c r="K18" i="27"/>
  <c r="J18" i="27"/>
  <c r="I18" i="27"/>
  <c r="J98" i="27"/>
  <c r="I98" i="27"/>
  <c r="K98" i="27"/>
  <c r="K43" i="27"/>
  <c r="J43" i="27"/>
  <c r="I43" i="27"/>
  <c r="H34" i="27"/>
  <c r="K26" i="27"/>
  <c r="J26" i="27"/>
  <c r="I26" i="27"/>
  <c r="K9" i="27"/>
  <c r="J9" i="27"/>
  <c r="I9" i="27"/>
  <c r="K113" i="27"/>
  <c r="I113" i="27"/>
  <c r="J113" i="27"/>
  <c r="K33" i="27"/>
  <c r="J33" i="27"/>
  <c r="I33" i="27"/>
  <c r="K16" i="27"/>
  <c r="J16" i="27"/>
  <c r="I16" i="27"/>
  <c r="K51" i="27"/>
  <c r="J51" i="27"/>
  <c r="I51" i="27"/>
  <c r="K41" i="27"/>
  <c r="J41" i="27"/>
  <c r="I41" i="27"/>
  <c r="K24" i="27"/>
  <c r="J24" i="27"/>
  <c r="I24" i="27"/>
  <c r="K71" i="27"/>
  <c r="J71" i="27"/>
  <c r="I71" i="27"/>
  <c r="K88" i="27"/>
  <c r="J88" i="27"/>
  <c r="I88" i="27"/>
  <c r="K106" i="27"/>
  <c r="J106" i="27"/>
  <c r="I106" i="27"/>
  <c r="K123" i="27"/>
  <c r="J123" i="27"/>
  <c r="I123" i="27"/>
  <c r="K140" i="27"/>
  <c r="J140" i="27"/>
  <c r="I140" i="27"/>
  <c r="K157" i="27"/>
  <c r="J157" i="27"/>
  <c r="I157" i="27"/>
  <c r="I108" i="27"/>
  <c r="K108" i="27"/>
  <c r="J108" i="27"/>
  <c r="K125" i="27"/>
  <c r="J125" i="27"/>
  <c r="I125" i="27"/>
  <c r="K142" i="27"/>
  <c r="J142" i="27"/>
  <c r="I142" i="27"/>
  <c r="K159" i="27"/>
  <c r="J159" i="27"/>
  <c r="I159" i="27"/>
  <c r="K83" i="27"/>
  <c r="J83" i="27"/>
  <c r="I83" i="27"/>
  <c r="K100" i="27"/>
  <c r="J100" i="27"/>
  <c r="I100" i="27"/>
  <c r="K117" i="27"/>
  <c r="J117" i="27"/>
  <c r="I117" i="27"/>
  <c r="K135" i="27"/>
  <c r="J135" i="27"/>
  <c r="I135" i="27"/>
  <c r="H160" i="27"/>
  <c r="K152" i="27"/>
  <c r="J152" i="27"/>
  <c r="I152" i="27"/>
  <c r="K127" i="27"/>
  <c r="J127" i="27"/>
  <c r="I127" i="27"/>
  <c r="K144" i="27"/>
  <c r="J144" i="27"/>
  <c r="I144" i="27"/>
  <c r="K120" i="27"/>
  <c r="J120" i="27"/>
  <c r="I120" i="27"/>
  <c r="K137" i="27"/>
  <c r="J137" i="27"/>
  <c r="I137" i="27"/>
  <c r="K154" i="27"/>
  <c r="J154" i="27"/>
  <c r="I154" i="27"/>
  <c r="K95" i="27"/>
  <c r="J95" i="27"/>
  <c r="I95" i="27"/>
  <c r="K112" i="27"/>
  <c r="J112" i="27"/>
  <c r="I112" i="27"/>
  <c r="K129" i="27"/>
  <c r="J129" i="27"/>
  <c r="I129" i="27"/>
  <c r="K53" i="27"/>
  <c r="J53" i="27"/>
  <c r="I53" i="27"/>
  <c r="K70" i="27"/>
  <c r="J70" i="27"/>
  <c r="I70" i="27"/>
  <c r="K87" i="27"/>
  <c r="J87" i="27"/>
  <c r="I87" i="27"/>
  <c r="K122" i="27"/>
  <c r="J122" i="27"/>
  <c r="I122" i="27"/>
  <c r="K139" i="27"/>
  <c r="J139" i="27"/>
  <c r="I139" i="27"/>
  <c r="K156" i="27"/>
  <c r="J156" i="27"/>
  <c r="I156" i="27"/>
  <c r="K80" i="27"/>
  <c r="J80" i="27"/>
  <c r="I80" i="27"/>
  <c r="K97" i="27"/>
  <c r="J97" i="27"/>
  <c r="I97" i="27"/>
  <c r="K114" i="27"/>
  <c r="J114" i="27"/>
  <c r="I114" i="27"/>
  <c r="K131" i="27"/>
  <c r="J131" i="27"/>
  <c r="I131" i="27"/>
  <c r="K149" i="27"/>
  <c r="J149" i="27"/>
  <c r="I149" i="27"/>
  <c r="K55" i="27"/>
  <c r="J55" i="27"/>
  <c r="I55" i="27"/>
  <c r="K72" i="27"/>
  <c r="J72" i="27"/>
  <c r="I72" i="27"/>
  <c r="K89" i="27"/>
  <c r="J89" i="27"/>
  <c r="I89" i="27"/>
  <c r="K107" i="27"/>
  <c r="J107" i="27"/>
  <c r="I107" i="27"/>
  <c r="K124" i="27"/>
  <c r="J124" i="27"/>
  <c r="I124" i="27"/>
  <c r="H132" i="27"/>
  <c r="K141" i="27"/>
  <c r="J141" i="27"/>
  <c r="I141" i="27"/>
  <c r="K158" i="27"/>
  <c r="J158" i="27"/>
  <c r="I158" i="27"/>
  <c r="K65" i="27"/>
  <c r="J65" i="27"/>
  <c r="I65" i="27"/>
  <c r="K82" i="27"/>
  <c r="J82" i="27"/>
  <c r="I82" i="27"/>
  <c r="H90" i="27"/>
  <c r="K99" i="27"/>
  <c r="J99" i="27"/>
  <c r="I99" i="27"/>
  <c r="K116" i="27"/>
  <c r="J116" i="27"/>
  <c r="I116" i="27"/>
  <c r="K134" i="27"/>
  <c r="J134" i="27"/>
  <c r="I134" i="27"/>
  <c r="K151" i="27"/>
  <c r="J151" i="27"/>
  <c r="I151" i="27"/>
  <c r="K57" i="27"/>
  <c r="J57" i="27"/>
  <c r="I57" i="27"/>
  <c r="K74" i="27"/>
  <c r="J74" i="27"/>
  <c r="I74" i="27"/>
  <c r="K92" i="27"/>
  <c r="J92" i="27"/>
  <c r="I92" i="27"/>
  <c r="K109" i="27"/>
  <c r="J109" i="27"/>
  <c r="I109" i="27"/>
  <c r="K126" i="27"/>
  <c r="J126" i="27"/>
  <c r="I126" i="27"/>
  <c r="K143" i="27"/>
  <c r="J143" i="27"/>
  <c r="I143" i="27"/>
  <c r="J67" i="27"/>
  <c r="I67" i="27"/>
  <c r="K67" i="27"/>
  <c r="J84" i="27"/>
  <c r="I84" i="27"/>
  <c r="K84" i="27"/>
  <c r="J101" i="27"/>
  <c r="I101" i="27"/>
  <c r="K101" i="27"/>
  <c r="J136" i="27"/>
  <c r="I136" i="27"/>
  <c r="K136" i="27"/>
  <c r="J153" i="27"/>
  <c r="I153" i="27"/>
  <c r="K153" i="27"/>
  <c r="I59" i="27"/>
  <c r="K59" i="27"/>
  <c r="J59" i="27"/>
  <c r="I94" i="27"/>
  <c r="K94" i="27"/>
  <c r="J94" i="27"/>
  <c r="I111" i="27"/>
  <c r="K111" i="27"/>
  <c r="J111" i="27"/>
  <c r="I128" i="27"/>
  <c r="K128" i="27"/>
  <c r="J128" i="27"/>
  <c r="I145" i="27"/>
  <c r="K145" i="27"/>
  <c r="J145" i="27"/>
  <c r="K52" i="27"/>
  <c r="J52" i="27"/>
  <c r="I52" i="27"/>
  <c r="J69" i="27"/>
  <c r="K69" i="27"/>
  <c r="I69" i="27"/>
  <c r="J86" i="27"/>
  <c r="K86" i="27"/>
  <c r="I86" i="27"/>
  <c r="J103" i="27"/>
  <c r="I103" i="27"/>
  <c r="K103" i="27"/>
  <c r="J121" i="27"/>
  <c r="I121" i="27"/>
  <c r="K121" i="27"/>
  <c r="H146" i="27"/>
  <c r="J138" i="27"/>
  <c r="K138" i="27"/>
  <c r="I138" i="27"/>
  <c r="J155" i="27"/>
  <c r="K155" i="27"/>
  <c r="I155" i="27"/>
  <c r="K31" i="27"/>
  <c r="J31" i="27"/>
  <c r="I31" i="27"/>
  <c r="K85" i="27"/>
  <c r="J85" i="27"/>
  <c r="I85" i="27"/>
  <c r="K46" i="27"/>
  <c r="J46" i="27"/>
  <c r="I46" i="27"/>
  <c r="K29" i="27"/>
  <c r="J29" i="27"/>
  <c r="I29" i="27"/>
  <c r="H20" i="27"/>
  <c r="K12" i="27"/>
  <c r="J12" i="27"/>
  <c r="I12" i="27"/>
  <c r="I115" i="26"/>
  <c r="K115" i="26"/>
  <c r="J115" i="26"/>
  <c r="J56" i="26"/>
  <c r="K56" i="26"/>
  <c r="I56" i="26"/>
  <c r="J32" i="26"/>
  <c r="K32" i="26"/>
  <c r="I32" i="26"/>
  <c r="J15" i="26"/>
  <c r="K15" i="26"/>
  <c r="I15" i="26"/>
  <c r="K144" i="26"/>
  <c r="J144" i="26"/>
  <c r="I144" i="26"/>
  <c r="K135" i="26"/>
  <c r="J135" i="26"/>
  <c r="I135" i="26"/>
  <c r="K100" i="26"/>
  <c r="I100" i="26"/>
  <c r="J100" i="26"/>
  <c r="I64" i="26"/>
  <c r="K64" i="26"/>
  <c r="J64" i="26"/>
  <c r="I40" i="26"/>
  <c r="K40" i="26"/>
  <c r="H48" i="26"/>
  <c r="J40" i="26"/>
  <c r="I23" i="26"/>
  <c r="K23" i="26"/>
  <c r="J23" i="26"/>
  <c r="J30" i="26"/>
  <c r="I30" i="26"/>
  <c r="K30" i="26"/>
  <c r="J13" i="26"/>
  <c r="I13" i="26"/>
  <c r="K13" i="26"/>
  <c r="K87" i="26"/>
  <c r="J87" i="26"/>
  <c r="I87" i="26"/>
  <c r="K83" i="26"/>
  <c r="J83" i="26"/>
  <c r="I83" i="26"/>
  <c r="K70" i="26"/>
  <c r="J70" i="26"/>
  <c r="I70" i="26"/>
  <c r="K38" i="26"/>
  <c r="J38" i="26"/>
  <c r="I38" i="26"/>
  <c r="J93" i="26"/>
  <c r="K93" i="26"/>
  <c r="I93" i="26"/>
  <c r="K78" i="26"/>
  <c r="J78" i="26"/>
  <c r="I78" i="26"/>
  <c r="K45" i="26"/>
  <c r="J45" i="26"/>
  <c r="I45" i="26"/>
  <c r="K28" i="26"/>
  <c r="J28" i="26"/>
  <c r="I28" i="26"/>
  <c r="K11" i="26"/>
  <c r="J11" i="26"/>
  <c r="I11" i="26"/>
  <c r="K51" i="26"/>
  <c r="J51" i="26"/>
  <c r="I51" i="26"/>
  <c r="K36" i="26"/>
  <c r="J36" i="26"/>
  <c r="I36" i="26"/>
  <c r="K18" i="26"/>
  <c r="J18" i="26"/>
  <c r="I18" i="26"/>
  <c r="H160" i="26"/>
  <c r="K152" i="26"/>
  <c r="J152" i="26"/>
  <c r="I152" i="26"/>
  <c r="K58" i="26"/>
  <c r="J58" i="26"/>
  <c r="I58" i="26"/>
  <c r="K43" i="26"/>
  <c r="J43" i="26"/>
  <c r="I43" i="26"/>
  <c r="K26" i="26"/>
  <c r="J26" i="26"/>
  <c r="I26" i="26"/>
  <c r="H34" i="26"/>
  <c r="K9" i="26"/>
  <c r="J9" i="26"/>
  <c r="I9" i="26"/>
  <c r="I98" i="26"/>
  <c r="K98" i="26"/>
  <c r="J98" i="26"/>
  <c r="K66" i="26"/>
  <c r="J66" i="26"/>
  <c r="I66" i="26"/>
  <c r="K33" i="26"/>
  <c r="J33" i="26"/>
  <c r="I33" i="26"/>
  <c r="K16" i="26"/>
  <c r="J16" i="26"/>
  <c r="I16" i="26"/>
  <c r="H118" i="26"/>
  <c r="K110" i="26"/>
  <c r="J110" i="26"/>
  <c r="I110" i="26"/>
  <c r="K73" i="26"/>
  <c r="J73" i="26"/>
  <c r="I73" i="26"/>
  <c r="K41" i="26"/>
  <c r="J41" i="26"/>
  <c r="I41" i="26"/>
  <c r="K24" i="26"/>
  <c r="J24" i="26"/>
  <c r="I24" i="26"/>
  <c r="K108" i="26"/>
  <c r="J108" i="26"/>
  <c r="I108" i="26"/>
  <c r="K125" i="26"/>
  <c r="I125" i="26"/>
  <c r="J125" i="26"/>
  <c r="K142" i="26"/>
  <c r="J142" i="26"/>
  <c r="I142" i="26"/>
  <c r="K159" i="26"/>
  <c r="J159" i="26"/>
  <c r="I159" i="26"/>
  <c r="K120" i="26"/>
  <c r="J120" i="26"/>
  <c r="I120" i="26"/>
  <c r="K137" i="26"/>
  <c r="J137" i="26"/>
  <c r="I137" i="26"/>
  <c r="K154" i="26"/>
  <c r="J154" i="26"/>
  <c r="I154" i="26"/>
  <c r="K95" i="26"/>
  <c r="J95" i="26"/>
  <c r="I95" i="26"/>
  <c r="K112" i="26"/>
  <c r="J112" i="26"/>
  <c r="I112" i="26"/>
  <c r="K129" i="26"/>
  <c r="J129" i="26"/>
  <c r="I129" i="26"/>
  <c r="K122" i="26"/>
  <c r="J122" i="26"/>
  <c r="I122" i="26"/>
  <c r="K139" i="26"/>
  <c r="J139" i="26"/>
  <c r="I139" i="26"/>
  <c r="K156" i="26"/>
  <c r="J156" i="26"/>
  <c r="I156" i="26"/>
  <c r="K97" i="26"/>
  <c r="J97" i="26"/>
  <c r="I97" i="26"/>
  <c r="K114" i="26"/>
  <c r="J114" i="26"/>
  <c r="I114" i="26"/>
  <c r="K131" i="26"/>
  <c r="J131" i="26"/>
  <c r="I131" i="26"/>
  <c r="K149" i="26"/>
  <c r="J149" i="26"/>
  <c r="I149" i="26"/>
  <c r="K55" i="26"/>
  <c r="J55" i="26"/>
  <c r="I55" i="26"/>
  <c r="K72" i="26"/>
  <c r="J72" i="26"/>
  <c r="I72" i="26"/>
  <c r="K89" i="26"/>
  <c r="J89" i="26"/>
  <c r="I89" i="26"/>
  <c r="K107" i="26"/>
  <c r="J107" i="26"/>
  <c r="I107" i="26"/>
  <c r="K124" i="26"/>
  <c r="J124" i="26"/>
  <c r="I124" i="26"/>
  <c r="H132" i="26"/>
  <c r="K141" i="26"/>
  <c r="J141" i="26"/>
  <c r="I141" i="26"/>
  <c r="K158" i="26"/>
  <c r="J158" i="26"/>
  <c r="I158" i="26"/>
  <c r="K47" i="26"/>
  <c r="I47" i="26"/>
  <c r="J47" i="26"/>
  <c r="K65" i="26"/>
  <c r="J65" i="26"/>
  <c r="I65" i="26"/>
  <c r="K82" i="26"/>
  <c r="J82" i="26"/>
  <c r="I82" i="26"/>
  <c r="H90" i="26"/>
  <c r="K99" i="26"/>
  <c r="J99" i="26"/>
  <c r="I99" i="26"/>
  <c r="K116" i="26"/>
  <c r="J116" i="26"/>
  <c r="I116" i="26"/>
  <c r="K134" i="26"/>
  <c r="J134" i="26"/>
  <c r="I134" i="26"/>
  <c r="K151" i="26"/>
  <c r="J151" i="26"/>
  <c r="I151" i="26"/>
  <c r="K57" i="26"/>
  <c r="J57" i="26"/>
  <c r="I57" i="26"/>
  <c r="K74" i="26"/>
  <c r="J74" i="26"/>
  <c r="I74" i="26"/>
  <c r="K92" i="26"/>
  <c r="J92" i="26"/>
  <c r="I92" i="26"/>
  <c r="K109" i="26"/>
  <c r="J109" i="26"/>
  <c r="I109" i="26"/>
  <c r="K126" i="26"/>
  <c r="J126" i="26"/>
  <c r="I126" i="26"/>
  <c r="K143" i="26"/>
  <c r="J143" i="26"/>
  <c r="I143" i="26"/>
  <c r="K50" i="26"/>
  <c r="J50" i="26"/>
  <c r="I50" i="26"/>
  <c r="K67" i="26"/>
  <c r="J67" i="26"/>
  <c r="I67" i="26"/>
  <c r="K84" i="26"/>
  <c r="J84" i="26"/>
  <c r="I84" i="26"/>
  <c r="K101" i="26"/>
  <c r="J101" i="26"/>
  <c r="I101" i="26"/>
  <c r="K136" i="26"/>
  <c r="J136" i="26"/>
  <c r="I136" i="26"/>
  <c r="K153" i="26"/>
  <c r="J153" i="26"/>
  <c r="I153" i="26"/>
  <c r="K59" i="26"/>
  <c r="J59" i="26"/>
  <c r="I59" i="26"/>
  <c r="K94" i="26"/>
  <c r="J94" i="26"/>
  <c r="I94" i="26"/>
  <c r="K111" i="26"/>
  <c r="J111" i="26"/>
  <c r="I111" i="26"/>
  <c r="K128" i="26"/>
  <c r="J128" i="26"/>
  <c r="I128" i="26"/>
  <c r="K145" i="26"/>
  <c r="J145" i="26"/>
  <c r="I145" i="26"/>
  <c r="J52" i="26"/>
  <c r="I52" i="26"/>
  <c r="K52" i="26"/>
  <c r="J69" i="26"/>
  <c r="I69" i="26"/>
  <c r="K69" i="26"/>
  <c r="J86" i="26"/>
  <c r="I86" i="26"/>
  <c r="K86" i="26"/>
  <c r="J103" i="26"/>
  <c r="I103" i="26"/>
  <c r="K103" i="26"/>
  <c r="J121" i="26"/>
  <c r="I121" i="26"/>
  <c r="K121" i="26"/>
  <c r="J138" i="26"/>
  <c r="I138" i="26"/>
  <c r="H146" i="26"/>
  <c r="K138" i="26"/>
  <c r="J155" i="26"/>
  <c r="I155" i="26"/>
  <c r="K155" i="26"/>
  <c r="I61" i="26"/>
  <c r="K61" i="26"/>
  <c r="J61" i="26"/>
  <c r="I79" i="26"/>
  <c r="K79" i="26"/>
  <c r="J79" i="26"/>
  <c r="I96" i="26"/>
  <c r="K96" i="26"/>
  <c r="H104" i="26"/>
  <c r="J96" i="26"/>
  <c r="I113" i="26"/>
  <c r="K113" i="26"/>
  <c r="J113" i="26"/>
  <c r="I130" i="26"/>
  <c r="K130" i="26"/>
  <c r="J130" i="26"/>
  <c r="I148" i="26"/>
  <c r="K148" i="26"/>
  <c r="J148" i="26"/>
  <c r="H62" i="26"/>
  <c r="K54" i="26"/>
  <c r="J54" i="26"/>
  <c r="I54" i="26"/>
  <c r="J71" i="26"/>
  <c r="I71" i="26"/>
  <c r="K71" i="26"/>
  <c r="J88" i="26"/>
  <c r="K88" i="26"/>
  <c r="I88" i="26"/>
  <c r="J106" i="26"/>
  <c r="K106" i="26"/>
  <c r="I106" i="26"/>
  <c r="J123" i="26"/>
  <c r="K123" i="26"/>
  <c r="I123" i="26"/>
  <c r="J140" i="26"/>
  <c r="K140" i="26"/>
  <c r="I140" i="26"/>
  <c r="J157" i="26"/>
  <c r="I157" i="26"/>
  <c r="K157" i="26"/>
  <c r="K14" i="26"/>
  <c r="J14" i="26"/>
  <c r="I14" i="26"/>
  <c r="I150" i="26"/>
  <c r="K150" i="26"/>
  <c r="J150" i="26"/>
  <c r="K102" i="26"/>
  <c r="I102" i="26"/>
  <c r="J102" i="26"/>
  <c r="I81" i="26"/>
  <c r="K81" i="26"/>
  <c r="J81" i="26"/>
  <c r="K39" i="26"/>
  <c r="J39" i="26"/>
  <c r="I39" i="26"/>
  <c r="K22" i="26"/>
  <c r="J22" i="26"/>
  <c r="I22" i="26"/>
  <c r="K85" i="26"/>
  <c r="J85" i="26"/>
  <c r="I85" i="26"/>
  <c r="K80" i="26"/>
  <c r="J80" i="26"/>
  <c r="I80" i="26"/>
  <c r="K53" i="26"/>
  <c r="J53" i="26"/>
  <c r="I53" i="26"/>
  <c r="K46" i="26"/>
  <c r="J46" i="26"/>
  <c r="I46" i="26"/>
  <c r="K29" i="26"/>
  <c r="J29" i="26"/>
  <c r="I29" i="26"/>
  <c r="K127" i="26"/>
  <c r="J127" i="26"/>
  <c r="I127" i="26"/>
  <c r="K117" i="26"/>
  <c r="J117" i="26"/>
  <c r="I117" i="26"/>
  <c r="K60" i="26"/>
  <c r="J60" i="26"/>
  <c r="I60" i="26"/>
  <c r="K37" i="26"/>
  <c r="J37" i="26"/>
  <c r="I37" i="26"/>
  <c r="K75" i="26"/>
  <c r="J75" i="26"/>
  <c r="I75" i="26"/>
  <c r="K17" i="26"/>
  <c r="J17" i="26"/>
  <c r="I17" i="26"/>
  <c r="K156" i="22"/>
  <c r="L156" i="22"/>
  <c r="J156" i="22"/>
  <c r="J116" i="22"/>
  <c r="L116" i="22"/>
  <c r="K116" i="22"/>
  <c r="K19" i="22"/>
  <c r="L19" i="22"/>
  <c r="J19" i="22"/>
  <c r="K113" i="22"/>
  <c r="J113" i="22"/>
  <c r="L113" i="22"/>
  <c r="K87" i="22"/>
  <c r="J87" i="22"/>
  <c r="L87" i="22"/>
  <c r="J73" i="22"/>
  <c r="L73" i="22"/>
  <c r="K73" i="22"/>
  <c r="J65" i="22"/>
  <c r="L65" i="22"/>
  <c r="K65" i="22"/>
  <c r="J56" i="22"/>
  <c r="L56" i="22"/>
  <c r="K56" i="22"/>
  <c r="J47" i="22"/>
  <c r="L47" i="22"/>
  <c r="K47" i="22"/>
  <c r="J39" i="22"/>
  <c r="L39" i="22"/>
  <c r="K39" i="22"/>
  <c r="J30" i="22"/>
  <c r="L30" i="22"/>
  <c r="K30" i="22"/>
  <c r="K13" i="22"/>
  <c r="J13" i="22"/>
  <c r="I21" i="22"/>
  <c r="L13" i="22"/>
  <c r="L84" i="22"/>
  <c r="K84" i="22"/>
  <c r="J84" i="22"/>
  <c r="K93" i="22"/>
  <c r="L93" i="22"/>
  <c r="J93" i="22"/>
  <c r="K101" i="22"/>
  <c r="L101" i="22"/>
  <c r="J101" i="22"/>
  <c r="K110" i="22"/>
  <c r="L110" i="22"/>
  <c r="J110" i="22"/>
  <c r="K118" i="22"/>
  <c r="L118" i="22"/>
  <c r="J118" i="22"/>
  <c r="K127" i="22"/>
  <c r="L127" i="22"/>
  <c r="J127" i="22"/>
  <c r="K136" i="22"/>
  <c r="L136" i="22"/>
  <c r="J136" i="22"/>
  <c r="K144" i="22"/>
  <c r="L144" i="22"/>
  <c r="J144" i="22"/>
  <c r="K153" i="22"/>
  <c r="I161" i="22"/>
  <c r="J153" i="22"/>
  <c r="L153" i="22"/>
  <c r="K89" i="22"/>
  <c r="L89" i="22"/>
  <c r="J89" i="22"/>
  <c r="K98" i="22"/>
  <c r="L98" i="22"/>
  <c r="J98" i="22"/>
  <c r="K107" i="22"/>
  <c r="L107" i="22"/>
  <c r="J107" i="22"/>
  <c r="K115" i="22"/>
  <c r="L115" i="22"/>
  <c r="J115" i="22"/>
  <c r="K124" i="22"/>
  <c r="L124" i="22"/>
  <c r="J124" i="22"/>
  <c r="K132" i="22"/>
  <c r="L132" i="22"/>
  <c r="J132" i="22"/>
  <c r="K141" i="22"/>
  <c r="J141" i="22"/>
  <c r="L141" i="22"/>
  <c r="K150" i="22"/>
  <c r="L150" i="22"/>
  <c r="J150" i="22"/>
  <c r="K158" i="22"/>
  <c r="L158" i="22"/>
  <c r="J158" i="22"/>
  <c r="K86" i="22"/>
  <c r="L86" i="22"/>
  <c r="J86" i="22"/>
  <c r="K95" i="22"/>
  <c r="L95" i="22"/>
  <c r="J95" i="22"/>
  <c r="K103" i="22"/>
  <c r="L103" i="22"/>
  <c r="J103" i="22"/>
  <c r="K112" i="22"/>
  <c r="L112" i="22"/>
  <c r="J112" i="22"/>
  <c r="K121" i="22"/>
  <c r="L121" i="22"/>
  <c r="J121" i="22"/>
  <c r="K129" i="22"/>
  <c r="L129" i="22"/>
  <c r="J129" i="22"/>
  <c r="K138" i="22"/>
  <c r="L138" i="22"/>
  <c r="J138" i="22"/>
  <c r="K146" i="22"/>
  <c r="L146" i="22"/>
  <c r="J146" i="22"/>
  <c r="K155" i="22"/>
  <c r="L155" i="22"/>
  <c r="J155" i="22"/>
  <c r="K83" i="22"/>
  <c r="I91" i="22"/>
  <c r="L83" i="22"/>
  <c r="J83" i="22"/>
  <c r="K100" i="22"/>
  <c r="L100" i="22"/>
  <c r="J100" i="22"/>
  <c r="K109" i="22"/>
  <c r="L109" i="22"/>
  <c r="J109" i="22"/>
  <c r="K117" i="22"/>
  <c r="L117" i="22"/>
  <c r="J117" i="22"/>
  <c r="K126" i="22"/>
  <c r="L126" i="22"/>
  <c r="J126" i="22"/>
  <c r="K135" i="22"/>
  <c r="J135" i="22"/>
  <c r="L135" i="22"/>
  <c r="K143" i="22"/>
  <c r="L143" i="22"/>
  <c r="J143" i="22"/>
  <c r="K152" i="22"/>
  <c r="L152" i="22"/>
  <c r="J152" i="22"/>
  <c r="K160" i="22"/>
  <c r="L160" i="22"/>
  <c r="J160" i="22"/>
  <c r="K88" i="22"/>
  <c r="L88" i="22"/>
  <c r="J88" i="22"/>
  <c r="K97" i="22"/>
  <c r="I105" i="22"/>
  <c r="L97" i="22"/>
  <c r="J97" i="22"/>
  <c r="K114" i="22"/>
  <c r="L114" i="22"/>
  <c r="J114" i="22"/>
  <c r="K123" i="22"/>
  <c r="J123" i="22"/>
  <c r="L123" i="22"/>
  <c r="K131" i="22"/>
  <c r="L131" i="22"/>
  <c r="J131" i="22"/>
  <c r="K140" i="22"/>
  <c r="L140" i="22"/>
  <c r="J140" i="22"/>
  <c r="K149" i="22"/>
  <c r="L149" i="22"/>
  <c r="J149" i="22"/>
  <c r="K157" i="22"/>
  <c r="L157" i="22"/>
  <c r="J157" i="22"/>
  <c r="L85" i="22"/>
  <c r="J85" i="22"/>
  <c r="K85" i="22"/>
  <c r="L94" i="22"/>
  <c r="K94" i="22"/>
  <c r="J94" i="22"/>
  <c r="L102" i="22"/>
  <c r="K102" i="22"/>
  <c r="J102" i="22"/>
  <c r="I119" i="22"/>
  <c r="L111" i="22"/>
  <c r="K111" i="22"/>
  <c r="J111" i="22"/>
  <c r="L128" i="22"/>
  <c r="K128" i="22"/>
  <c r="J128" i="22"/>
  <c r="L137" i="22"/>
  <c r="K137" i="22"/>
  <c r="J137" i="22"/>
  <c r="L145" i="22"/>
  <c r="K145" i="22"/>
  <c r="J145" i="22"/>
  <c r="L154" i="22"/>
  <c r="K154" i="22"/>
  <c r="J154" i="22"/>
  <c r="L82" i="22"/>
  <c r="K82" i="22"/>
  <c r="J82" i="22"/>
  <c r="L76" i="22"/>
  <c r="K76" i="22"/>
  <c r="J76" i="22"/>
  <c r="L68" i="22"/>
  <c r="K68" i="22"/>
  <c r="J68" i="22"/>
  <c r="L59" i="22"/>
  <c r="K59" i="22"/>
  <c r="J59" i="22"/>
  <c r="L51" i="22"/>
  <c r="K51" i="22"/>
  <c r="J51" i="22"/>
  <c r="L42" i="22"/>
  <c r="K42" i="22"/>
  <c r="J42" i="22"/>
  <c r="L33" i="22"/>
  <c r="K33" i="22"/>
  <c r="J33" i="22"/>
  <c r="L25" i="22"/>
  <c r="K25" i="22"/>
  <c r="J25" i="22"/>
  <c r="L18" i="22"/>
  <c r="K18" i="22"/>
  <c r="J18" i="22"/>
  <c r="K122" i="22"/>
  <c r="L122" i="22"/>
  <c r="J122" i="22"/>
  <c r="L80" i="22"/>
  <c r="K80" i="22"/>
  <c r="J80" i="22"/>
  <c r="L71" i="22"/>
  <c r="K71" i="22"/>
  <c r="J71" i="22"/>
  <c r="L62" i="22"/>
  <c r="K62" i="22"/>
  <c r="J62" i="22"/>
  <c r="L54" i="22"/>
  <c r="K54" i="22"/>
  <c r="J54" i="22"/>
  <c r="L45" i="22"/>
  <c r="K45" i="22"/>
  <c r="J45" i="22"/>
  <c r="L37" i="22"/>
  <c r="K37" i="22"/>
  <c r="J37" i="22"/>
  <c r="L28" i="22"/>
  <c r="K28" i="22"/>
  <c r="J28" i="22"/>
  <c r="L12" i="22"/>
  <c r="K12" i="22"/>
  <c r="J12" i="22"/>
  <c r="L17" i="22"/>
  <c r="K17" i="22"/>
  <c r="J17" i="22"/>
  <c r="K130" i="22"/>
  <c r="L130" i="22"/>
  <c r="J130" i="22"/>
  <c r="L74" i="22"/>
  <c r="K74" i="22"/>
  <c r="J74" i="22"/>
  <c r="L66" i="22"/>
  <c r="K66" i="22"/>
  <c r="J66" i="22"/>
  <c r="L57" i="22"/>
  <c r="K57" i="22"/>
  <c r="J57" i="22"/>
  <c r="L48" i="22"/>
  <c r="K48" i="22"/>
  <c r="J48" i="22"/>
  <c r="L40" i="22"/>
  <c r="K40" i="22"/>
  <c r="J40" i="22"/>
  <c r="L31" i="22"/>
  <c r="K31" i="22"/>
  <c r="J31" i="22"/>
  <c r="L23" i="22"/>
  <c r="K23" i="22"/>
  <c r="J23" i="22"/>
  <c r="J142" i="22"/>
  <c r="L142" i="22"/>
  <c r="K142" i="22"/>
  <c r="L69" i="22"/>
  <c r="K69" i="22"/>
  <c r="J69" i="22"/>
  <c r="I77" i="22"/>
  <c r="L60" i="22"/>
  <c r="K60" i="22"/>
  <c r="J60" i="22"/>
  <c r="L52" i="22"/>
  <c r="K52" i="22"/>
  <c r="J52" i="22"/>
  <c r="K139" i="22"/>
  <c r="L139" i="22"/>
  <c r="J139" i="22"/>
  <c r="I147" i="22"/>
  <c r="L81" i="22"/>
  <c r="K81" i="22"/>
  <c r="J81" i="22"/>
  <c r="L72" i="22"/>
  <c r="K72" i="22"/>
  <c r="J72" i="22"/>
  <c r="K55" i="22"/>
  <c r="J55" i="22"/>
  <c r="I63" i="22"/>
  <c r="L55" i="22"/>
  <c r="K46" i="22"/>
  <c r="J46" i="22"/>
  <c r="L46" i="22"/>
  <c r="K38" i="22"/>
  <c r="J38" i="22"/>
  <c r="L38" i="22"/>
  <c r="K29" i="22"/>
  <c r="J29" i="22"/>
  <c r="L29" i="22"/>
  <c r="J10" i="22"/>
  <c r="L10" i="22"/>
  <c r="K10" i="22"/>
  <c r="J151" i="22"/>
  <c r="L151" i="22"/>
  <c r="K151" i="22"/>
  <c r="K104" i="22"/>
  <c r="L104" i="22"/>
  <c r="J104" i="22"/>
  <c r="L9" i="22"/>
  <c r="K9" i="22"/>
  <c r="J9" i="22"/>
  <c r="W12" i="22"/>
  <c r="V12" i="22"/>
  <c r="X12" i="22"/>
  <c r="X18" i="22"/>
  <c r="V18" i="22"/>
  <c r="W18" i="22"/>
  <c r="U21" i="22"/>
  <c r="X13" i="22"/>
  <c r="W13" i="22"/>
  <c r="V13" i="22"/>
  <c r="X19" i="22"/>
  <c r="W19" i="22"/>
  <c r="V19" i="22"/>
  <c r="X14" i="22"/>
  <c r="W14" i="22"/>
  <c r="V14" i="22"/>
  <c r="X9" i="22"/>
  <c r="W9" i="22"/>
  <c r="V9" i="22"/>
  <c r="X20" i="22"/>
  <c r="W20" i="22"/>
  <c r="V20" i="22"/>
  <c r="X15" i="22"/>
  <c r="W15" i="22"/>
  <c r="V15" i="22"/>
  <c r="W10" i="22"/>
  <c r="V10" i="22"/>
  <c r="X10" i="22"/>
  <c r="W16" i="22"/>
  <c r="X16" i="22"/>
  <c r="V16" i="22"/>
  <c r="I76" i="21"/>
  <c r="H76" i="21"/>
  <c r="R20" i="21"/>
  <c r="Q20" i="21"/>
  <c r="I45" i="21"/>
  <c r="H45" i="21"/>
  <c r="I114" i="21"/>
  <c r="H114" i="21"/>
  <c r="G22" i="21"/>
  <c r="I14" i="21"/>
  <c r="H14" i="21"/>
  <c r="R11" i="21"/>
  <c r="Q11" i="21"/>
  <c r="Q19" i="21"/>
  <c r="R19" i="21"/>
  <c r="R10" i="21"/>
  <c r="Q10" i="21"/>
  <c r="R18" i="21"/>
  <c r="Q18" i="21"/>
  <c r="R17" i="21"/>
  <c r="Q17" i="21"/>
  <c r="R21" i="21"/>
  <c r="Q21" i="21"/>
  <c r="R16" i="21"/>
  <c r="Q16" i="21"/>
  <c r="R15" i="21"/>
  <c r="Q15" i="21"/>
  <c r="P22" i="21"/>
  <c r="Q14" i="21"/>
  <c r="R14" i="21"/>
  <c r="H63" i="21"/>
  <c r="I63" i="21"/>
  <c r="H29" i="21"/>
  <c r="I29" i="21"/>
  <c r="I17" i="21"/>
  <c r="H17" i="21"/>
  <c r="H46" i="21"/>
  <c r="I46" i="21"/>
  <c r="I62" i="21"/>
  <c r="H62" i="21"/>
  <c r="I136" i="21"/>
  <c r="H136" i="21"/>
  <c r="I21" i="21"/>
  <c r="H21" i="21"/>
  <c r="H81" i="21"/>
  <c r="I81" i="21"/>
  <c r="I97" i="21"/>
  <c r="H97" i="21"/>
  <c r="I25" i="21"/>
  <c r="H25" i="21"/>
  <c r="I30" i="21"/>
  <c r="H30" i="21"/>
  <c r="H98" i="21"/>
  <c r="G106" i="21"/>
  <c r="I98" i="21"/>
  <c r="I116" i="21"/>
  <c r="H116" i="21"/>
  <c r="I145" i="21"/>
  <c r="H145" i="21"/>
  <c r="I153" i="21"/>
  <c r="H153" i="21"/>
  <c r="H15" i="21"/>
  <c r="I15" i="21"/>
  <c r="G50" i="21"/>
  <c r="I42" i="21"/>
  <c r="H42" i="21"/>
  <c r="H47" i="21"/>
  <c r="I47" i="21"/>
  <c r="H130" i="21"/>
  <c r="I130" i="21"/>
  <c r="I59" i="21"/>
  <c r="H59" i="21"/>
  <c r="I111" i="21"/>
  <c r="H111" i="21"/>
  <c r="I124" i="21"/>
  <c r="H124" i="21"/>
  <c r="I94" i="21"/>
  <c r="H94" i="21"/>
  <c r="I99" i="21"/>
  <c r="H99" i="21"/>
  <c r="H147" i="21"/>
  <c r="I147" i="21"/>
  <c r="I13" i="21"/>
  <c r="H13" i="21"/>
  <c r="H118" i="21"/>
  <c r="I118" i="21"/>
  <c r="I131" i="21"/>
  <c r="H131" i="21"/>
  <c r="I20" i="21"/>
  <c r="H20" i="21"/>
  <c r="H27" i="21"/>
  <c r="I27" i="21"/>
  <c r="H32" i="21"/>
  <c r="I32" i="21"/>
  <c r="I38" i="21"/>
  <c r="H38" i="21"/>
  <c r="I12" i="21"/>
  <c r="H12" i="21"/>
  <c r="H44" i="21"/>
  <c r="I44" i="21"/>
  <c r="H49" i="21"/>
  <c r="I49" i="21"/>
  <c r="I55" i="21"/>
  <c r="H55" i="21"/>
  <c r="H113" i="21"/>
  <c r="I113" i="21"/>
  <c r="H61" i="21"/>
  <c r="I61" i="21"/>
  <c r="H67" i="21"/>
  <c r="I67" i="21"/>
  <c r="I72" i="21"/>
  <c r="H72" i="21"/>
  <c r="I141" i="21"/>
  <c r="H141" i="21"/>
  <c r="I11" i="21"/>
  <c r="H11" i="21"/>
  <c r="I19" i="21"/>
  <c r="H19" i="21"/>
  <c r="G92" i="21"/>
  <c r="H84" i="21"/>
  <c r="I84" i="21"/>
  <c r="I89" i="21"/>
  <c r="H89" i="21"/>
  <c r="H96" i="21"/>
  <c r="I96" i="21"/>
  <c r="H101" i="21"/>
  <c r="I101" i="21"/>
  <c r="I10" i="21"/>
  <c r="H10" i="21"/>
  <c r="I18" i="21"/>
  <c r="H18" i="21"/>
  <c r="G36" i="21"/>
  <c r="I28" i="21"/>
  <c r="H28" i="21"/>
  <c r="I158" i="21"/>
  <c r="H158" i="21"/>
  <c r="I34" i="21"/>
  <c r="H34" i="21"/>
  <c r="H52" i="21"/>
  <c r="I52" i="21"/>
  <c r="I69" i="21"/>
  <c r="H69" i="21"/>
  <c r="I86" i="21"/>
  <c r="H86" i="21"/>
  <c r="I103" i="21"/>
  <c r="H103" i="21"/>
  <c r="I138" i="21"/>
  <c r="H138" i="21"/>
  <c r="I155" i="21"/>
  <c r="H155" i="21"/>
  <c r="I40" i="21"/>
  <c r="H40" i="21"/>
  <c r="H57" i="21"/>
  <c r="I57" i="21"/>
  <c r="I74" i="21"/>
  <c r="H74" i="21"/>
  <c r="I91" i="21"/>
  <c r="H91" i="21"/>
  <c r="I109" i="21"/>
  <c r="H109" i="21"/>
  <c r="G134" i="21"/>
  <c r="I126" i="21"/>
  <c r="H126" i="21"/>
  <c r="H143" i="21"/>
  <c r="I143" i="21"/>
  <c r="H160" i="21"/>
  <c r="I160" i="21"/>
  <c r="I133" i="21"/>
  <c r="H133" i="21"/>
  <c r="I151" i="21"/>
  <c r="H151" i="21"/>
  <c r="I35" i="21"/>
  <c r="H35" i="21"/>
  <c r="I53" i="21"/>
  <c r="H53" i="21"/>
  <c r="I70" i="21"/>
  <c r="H70" i="21"/>
  <c r="G78" i="21"/>
  <c r="I87" i="21"/>
  <c r="H87" i="21"/>
  <c r="I104" i="21"/>
  <c r="H104" i="21"/>
  <c r="I122" i="21"/>
  <c r="H122" i="21"/>
  <c r="I139" i="21"/>
  <c r="H139" i="21"/>
  <c r="I156" i="21"/>
  <c r="H156" i="21"/>
  <c r="I26" i="21"/>
  <c r="H26" i="21"/>
  <c r="I43" i="21"/>
  <c r="H43" i="21"/>
  <c r="I60" i="21"/>
  <c r="H60" i="21"/>
  <c r="I77" i="21"/>
  <c r="H77" i="21"/>
  <c r="I95" i="21"/>
  <c r="H95" i="21"/>
  <c r="I112" i="21"/>
  <c r="H112" i="21"/>
  <c r="G120" i="21"/>
  <c r="I129" i="21"/>
  <c r="H129" i="21"/>
  <c r="I146" i="21"/>
  <c r="H146" i="21"/>
  <c r="I33" i="21"/>
  <c r="H33" i="21"/>
  <c r="I68" i="21"/>
  <c r="H68" i="21"/>
  <c r="I85" i="21"/>
  <c r="H85" i="21"/>
  <c r="I102" i="21"/>
  <c r="H102" i="21"/>
  <c r="I119" i="21"/>
  <c r="H119" i="21"/>
  <c r="I137" i="21"/>
  <c r="H137" i="21"/>
  <c r="I154" i="21"/>
  <c r="H154" i="21"/>
  <c r="G162" i="21"/>
  <c r="I24" i="21"/>
  <c r="H24" i="21"/>
  <c r="I41" i="21"/>
  <c r="H41" i="21"/>
  <c r="I58" i="21"/>
  <c r="H58" i="21"/>
  <c r="I75" i="21"/>
  <c r="H75" i="21"/>
  <c r="I110" i="21"/>
  <c r="H110" i="21"/>
  <c r="I127" i="21"/>
  <c r="H127" i="21"/>
  <c r="I144" i="21"/>
  <c r="H144" i="21"/>
  <c r="I161" i="21"/>
  <c r="H161" i="21"/>
  <c r="H31" i="21"/>
  <c r="I31" i="21"/>
  <c r="H48" i="21"/>
  <c r="I48" i="21"/>
  <c r="H66" i="21"/>
  <c r="I66" i="21"/>
  <c r="H83" i="21"/>
  <c r="I83" i="21"/>
  <c r="H100" i="21"/>
  <c r="I100" i="21"/>
  <c r="I117" i="21"/>
  <c r="H117" i="21"/>
  <c r="I152" i="21"/>
  <c r="H152" i="21"/>
  <c r="I39" i="21"/>
  <c r="H39" i="21"/>
  <c r="I56" i="21"/>
  <c r="H56" i="21"/>
  <c r="G64" i="21"/>
  <c r="I73" i="21"/>
  <c r="H73" i="21"/>
  <c r="I90" i="21"/>
  <c r="H90" i="21"/>
  <c r="I108" i="21"/>
  <c r="H108" i="21"/>
  <c r="I125" i="21"/>
  <c r="H125" i="21"/>
  <c r="I142" i="21"/>
  <c r="H142" i="21"/>
  <c r="I159" i="21"/>
  <c r="H159" i="21"/>
  <c r="H115" i="21"/>
  <c r="I115" i="21"/>
  <c r="H132" i="21"/>
  <c r="I132" i="21"/>
  <c r="H150" i="21"/>
  <c r="I150" i="21"/>
  <c r="I54" i="21"/>
  <c r="H54" i="21"/>
  <c r="I71" i="21"/>
  <c r="H71" i="21"/>
  <c r="I88" i="21"/>
  <c r="H88" i="21"/>
  <c r="I105" i="21"/>
  <c r="H105" i="21"/>
  <c r="I123" i="21"/>
  <c r="H123" i="21"/>
  <c r="I140" i="21"/>
  <c r="G148" i="21"/>
  <c r="H140" i="21"/>
  <c r="I157" i="21"/>
  <c r="H157" i="21"/>
  <c r="I80" i="21"/>
  <c r="H80" i="21"/>
  <c r="Y42" i="19"/>
  <c r="X42" i="19"/>
  <c r="I33" i="19"/>
  <c r="H33" i="19"/>
  <c r="Y16" i="19"/>
  <c r="X16" i="19"/>
  <c r="X15" i="19"/>
  <c r="Y15" i="19"/>
  <c r="I88" i="19"/>
  <c r="H88" i="19"/>
  <c r="Y44" i="19"/>
  <c r="X44" i="19"/>
  <c r="Y40" i="19"/>
  <c r="X40" i="19"/>
  <c r="R28" i="19"/>
  <c r="Q28" i="19"/>
  <c r="P28" i="19"/>
  <c r="X13" i="19"/>
  <c r="W21" i="19"/>
  <c r="Y13" i="19"/>
  <c r="H11" i="19"/>
  <c r="I11" i="19"/>
  <c r="R86" i="19"/>
  <c r="Q86" i="19"/>
  <c r="P86" i="19"/>
  <c r="R100" i="19"/>
  <c r="Q100" i="19"/>
  <c r="P100" i="19"/>
  <c r="R109" i="19"/>
  <c r="Q109" i="19"/>
  <c r="P109" i="19"/>
  <c r="R132" i="19"/>
  <c r="Q132" i="19"/>
  <c r="P132" i="19"/>
  <c r="R82" i="19"/>
  <c r="Q82" i="19"/>
  <c r="P82" i="19"/>
  <c r="P101" i="19"/>
  <c r="R101" i="19"/>
  <c r="Q101" i="19"/>
  <c r="R73" i="19"/>
  <c r="P73" i="19"/>
  <c r="Q73" i="19"/>
  <c r="R87" i="19"/>
  <c r="Q87" i="19"/>
  <c r="P87" i="19"/>
  <c r="R94" i="19"/>
  <c r="Q94" i="19"/>
  <c r="P94" i="19"/>
  <c r="O93" i="19"/>
  <c r="R102" i="19"/>
  <c r="Q102" i="19"/>
  <c r="P102" i="19"/>
  <c r="P103" i="19"/>
  <c r="R103" i="19"/>
  <c r="Q103" i="19"/>
  <c r="R124" i="19"/>
  <c r="Q124" i="19"/>
  <c r="P124" i="19"/>
  <c r="R137" i="19"/>
  <c r="Q137" i="19"/>
  <c r="P137" i="19"/>
  <c r="R56" i="19"/>
  <c r="Q56" i="19"/>
  <c r="P56" i="19"/>
  <c r="R58" i="19"/>
  <c r="Q58" i="19"/>
  <c r="P58" i="19"/>
  <c r="R60" i="19"/>
  <c r="Q60" i="19"/>
  <c r="P60" i="19"/>
  <c r="R62" i="19"/>
  <c r="Q62" i="19"/>
  <c r="P62" i="19"/>
  <c r="R67" i="19"/>
  <c r="Q67" i="19"/>
  <c r="P67" i="19"/>
  <c r="R69" i="19"/>
  <c r="Q69" i="19"/>
  <c r="O77" i="19"/>
  <c r="P69" i="19"/>
  <c r="R71" i="19"/>
  <c r="Q71" i="19"/>
  <c r="P71" i="19"/>
  <c r="R104" i="19"/>
  <c r="Q104" i="19"/>
  <c r="P104" i="19"/>
  <c r="R113" i="19"/>
  <c r="Q113" i="19"/>
  <c r="P113" i="19"/>
  <c r="R117" i="19"/>
  <c r="Q117" i="19"/>
  <c r="P117" i="19"/>
  <c r="R139" i="19"/>
  <c r="Q139" i="19"/>
  <c r="O147" i="19"/>
  <c r="P139" i="19"/>
  <c r="R158" i="19"/>
  <c r="Q158" i="19"/>
  <c r="P158" i="19"/>
  <c r="R88" i="19"/>
  <c r="Q88" i="19"/>
  <c r="P88" i="19"/>
  <c r="R156" i="19"/>
  <c r="Q156" i="19"/>
  <c r="P156" i="19"/>
  <c r="R96" i="19"/>
  <c r="Q96" i="19"/>
  <c r="P96" i="19"/>
  <c r="R141" i="19"/>
  <c r="Q141" i="19"/>
  <c r="P141" i="19"/>
  <c r="R154" i="19"/>
  <c r="Q154" i="19"/>
  <c r="P154" i="19"/>
  <c r="R84" i="19"/>
  <c r="Q84" i="19"/>
  <c r="P84" i="19"/>
  <c r="R126" i="19"/>
  <c r="Q126" i="19"/>
  <c r="P126" i="19"/>
  <c r="R152" i="19"/>
  <c r="Q152" i="19"/>
  <c r="P152" i="19"/>
  <c r="R74" i="19"/>
  <c r="Q74" i="19"/>
  <c r="P74" i="19"/>
  <c r="P97" i="19"/>
  <c r="R97" i="19"/>
  <c r="Q97" i="19"/>
  <c r="O105" i="19"/>
  <c r="R143" i="19"/>
  <c r="Q143" i="19"/>
  <c r="P143" i="19"/>
  <c r="O149" i="19"/>
  <c r="R150" i="19"/>
  <c r="Q150" i="19"/>
  <c r="P150" i="19"/>
  <c r="R80" i="19"/>
  <c r="Q80" i="19"/>
  <c r="P80" i="19"/>
  <c r="O79" i="19"/>
  <c r="R89" i="19"/>
  <c r="Q89" i="19"/>
  <c r="P89" i="19"/>
  <c r="R111" i="19"/>
  <c r="Q111" i="19"/>
  <c r="P111" i="19"/>
  <c r="O119" i="19"/>
  <c r="R98" i="19"/>
  <c r="Q98" i="19"/>
  <c r="P98" i="19"/>
  <c r="R128" i="19"/>
  <c r="Q128" i="19"/>
  <c r="P128" i="19"/>
  <c r="R145" i="19"/>
  <c r="Q145" i="19"/>
  <c r="P145" i="19"/>
  <c r="P18" i="19"/>
  <c r="R18" i="19"/>
  <c r="Q18" i="19"/>
  <c r="P20" i="19"/>
  <c r="R20" i="19"/>
  <c r="Q20" i="19"/>
  <c r="P25" i="19"/>
  <c r="R25" i="19"/>
  <c r="Q25" i="19"/>
  <c r="P27" i="19"/>
  <c r="O35" i="19"/>
  <c r="R27" i="19"/>
  <c r="Q27" i="19"/>
  <c r="P29" i="19"/>
  <c r="R29" i="19"/>
  <c r="Q29" i="19"/>
  <c r="P31" i="19"/>
  <c r="R31" i="19"/>
  <c r="Q31" i="19"/>
  <c r="P33" i="19"/>
  <c r="R33" i="19"/>
  <c r="Q33" i="19"/>
  <c r="P38" i="19"/>
  <c r="R38" i="19"/>
  <c r="Q38" i="19"/>
  <c r="O37" i="19"/>
  <c r="P40" i="19"/>
  <c r="R40" i="19"/>
  <c r="Q40" i="19"/>
  <c r="P42" i="19"/>
  <c r="R42" i="19"/>
  <c r="Q42" i="19"/>
  <c r="P44" i="19"/>
  <c r="R44" i="19"/>
  <c r="Q44" i="19"/>
  <c r="P46" i="19"/>
  <c r="R46" i="19"/>
  <c r="Q46" i="19"/>
  <c r="P48" i="19"/>
  <c r="R48" i="19"/>
  <c r="Q48" i="19"/>
  <c r="P53" i="19"/>
  <c r="R53" i="19"/>
  <c r="Q53" i="19"/>
  <c r="P55" i="19"/>
  <c r="O63" i="19"/>
  <c r="R55" i="19"/>
  <c r="Q55" i="19"/>
  <c r="P57" i="19"/>
  <c r="R57" i="19"/>
  <c r="Q57" i="19"/>
  <c r="P59" i="19"/>
  <c r="R59" i="19"/>
  <c r="Q59" i="19"/>
  <c r="P61" i="19"/>
  <c r="R61" i="19"/>
  <c r="Q61" i="19"/>
  <c r="P66" i="19"/>
  <c r="O65" i="19"/>
  <c r="R66" i="19"/>
  <c r="Q66" i="19"/>
  <c r="P68" i="19"/>
  <c r="R68" i="19"/>
  <c r="Q68" i="19"/>
  <c r="P70" i="19"/>
  <c r="R70" i="19"/>
  <c r="Q70" i="19"/>
  <c r="P72" i="19"/>
  <c r="R72" i="19"/>
  <c r="Q72" i="19"/>
  <c r="R75" i="19"/>
  <c r="P75" i="19"/>
  <c r="Q75" i="19"/>
  <c r="R85" i="19"/>
  <c r="Q85" i="19"/>
  <c r="P85" i="19"/>
  <c r="R115" i="19"/>
  <c r="Q115" i="19"/>
  <c r="P115" i="19"/>
  <c r="P90" i="19"/>
  <c r="R90" i="19"/>
  <c r="Q90" i="19"/>
  <c r="P99" i="19"/>
  <c r="R99" i="19"/>
  <c r="Q99" i="19"/>
  <c r="R130" i="19"/>
  <c r="Q130" i="19"/>
  <c r="P130" i="19"/>
  <c r="R160" i="19"/>
  <c r="Q160" i="19"/>
  <c r="P160" i="19"/>
  <c r="P108" i="19"/>
  <c r="R108" i="19"/>
  <c r="O107" i="19"/>
  <c r="Q108" i="19"/>
  <c r="P110" i="19"/>
  <c r="R110" i="19"/>
  <c r="Q110" i="19"/>
  <c r="P112" i="19"/>
  <c r="R112" i="19"/>
  <c r="Q112" i="19"/>
  <c r="P114" i="19"/>
  <c r="R114" i="19"/>
  <c r="Q114" i="19"/>
  <c r="P116" i="19"/>
  <c r="R116" i="19"/>
  <c r="Q116" i="19"/>
  <c r="P118" i="19"/>
  <c r="R118" i="19"/>
  <c r="Q118" i="19"/>
  <c r="P123" i="19"/>
  <c r="R123" i="19"/>
  <c r="Q123" i="19"/>
  <c r="P125" i="19"/>
  <c r="O133" i="19"/>
  <c r="R125" i="19"/>
  <c r="Q125" i="19"/>
  <c r="P127" i="19"/>
  <c r="R127" i="19"/>
  <c r="Q127" i="19"/>
  <c r="P129" i="19"/>
  <c r="R129" i="19"/>
  <c r="Q129" i="19"/>
  <c r="P131" i="19"/>
  <c r="R131" i="19"/>
  <c r="Q131" i="19"/>
  <c r="P136" i="19"/>
  <c r="R136" i="19"/>
  <c r="Q136" i="19"/>
  <c r="O135" i="19"/>
  <c r="P138" i="19"/>
  <c r="R138" i="19"/>
  <c r="Q138" i="19"/>
  <c r="P140" i="19"/>
  <c r="R140" i="19"/>
  <c r="Q140" i="19"/>
  <c r="P142" i="19"/>
  <c r="R142" i="19"/>
  <c r="Q142" i="19"/>
  <c r="P144" i="19"/>
  <c r="R144" i="19"/>
  <c r="Q144" i="19"/>
  <c r="P146" i="19"/>
  <c r="R146" i="19"/>
  <c r="Q146" i="19"/>
  <c r="P151" i="19"/>
  <c r="R151" i="19"/>
  <c r="Q151" i="19"/>
  <c r="P153" i="19"/>
  <c r="O161" i="19"/>
  <c r="R153" i="19"/>
  <c r="Q153" i="19"/>
  <c r="P155" i="19"/>
  <c r="R155" i="19"/>
  <c r="Q155" i="19"/>
  <c r="P157" i="19"/>
  <c r="R157" i="19"/>
  <c r="Q157" i="19"/>
  <c r="P159" i="19"/>
  <c r="R159" i="19"/>
  <c r="Q159" i="19"/>
  <c r="H98" i="19"/>
  <c r="J98" i="19"/>
  <c r="I98" i="19"/>
  <c r="Y46" i="19"/>
  <c r="X46" i="19"/>
  <c r="R34" i="19"/>
  <c r="Q34" i="19"/>
  <c r="P34" i="19"/>
  <c r="N161" i="19"/>
  <c r="N135" i="19"/>
  <c r="N133" i="19"/>
  <c r="N107" i="19"/>
  <c r="N149" i="19"/>
  <c r="N147" i="19"/>
  <c r="N121" i="19"/>
  <c r="N65" i="19"/>
  <c r="N63" i="19"/>
  <c r="N37" i="19"/>
  <c r="N35" i="19"/>
  <c r="N119" i="19"/>
  <c r="N79" i="19"/>
  <c r="N105" i="19"/>
  <c r="N91" i="19"/>
  <c r="N77" i="19"/>
  <c r="N51" i="19"/>
  <c r="N49" i="19"/>
  <c r="N93" i="19"/>
  <c r="M7" i="19"/>
  <c r="N21" i="19"/>
  <c r="N23" i="19"/>
  <c r="N9" i="19"/>
  <c r="J55" i="19"/>
  <c r="I55" i="19"/>
  <c r="G63" i="19"/>
  <c r="H55" i="19"/>
  <c r="O51" i="19"/>
  <c r="R52" i="19"/>
  <c r="Q52" i="19"/>
  <c r="P52" i="19"/>
  <c r="Y48" i="19"/>
  <c r="X48" i="19"/>
  <c r="W37" i="19"/>
  <c r="Y38" i="19"/>
  <c r="X38" i="19"/>
  <c r="Y29" i="19"/>
  <c r="X29" i="19"/>
  <c r="I20" i="19"/>
  <c r="H20" i="19"/>
  <c r="Y12" i="19"/>
  <c r="X12" i="19"/>
  <c r="J10" i="19"/>
  <c r="I10" i="19"/>
  <c r="H10" i="19"/>
  <c r="G9" i="19"/>
  <c r="J88" i="19" s="1"/>
  <c r="H104" i="19"/>
  <c r="I104" i="19"/>
  <c r="G91" i="19"/>
  <c r="H83" i="19"/>
  <c r="I83" i="19"/>
  <c r="I25" i="19"/>
  <c r="H25" i="19"/>
  <c r="Y157" i="19"/>
  <c r="X157" i="19"/>
  <c r="J42" i="19"/>
  <c r="I42" i="19"/>
  <c r="H42" i="19"/>
  <c r="J31" i="19"/>
  <c r="I31" i="19"/>
  <c r="H31" i="19"/>
  <c r="Y18" i="19"/>
  <c r="X18" i="19"/>
  <c r="X11" i="19"/>
  <c r="Y11" i="19"/>
  <c r="J103" i="19"/>
  <c r="I103" i="19"/>
  <c r="H103" i="19"/>
  <c r="J44" i="19"/>
  <c r="I44" i="19"/>
  <c r="H44" i="19"/>
  <c r="R54" i="19"/>
  <c r="Q54" i="19"/>
  <c r="P54" i="19"/>
  <c r="J46" i="19"/>
  <c r="I46" i="19"/>
  <c r="H46" i="19"/>
  <c r="I40" i="19"/>
  <c r="H40" i="19"/>
  <c r="Y10" i="19"/>
  <c r="X10" i="19"/>
  <c r="W9" i="19"/>
  <c r="J95" i="19"/>
  <c r="I95" i="19"/>
  <c r="H95" i="19"/>
  <c r="I127" i="19"/>
  <c r="H127" i="19"/>
  <c r="J144" i="19"/>
  <c r="I144" i="19"/>
  <c r="H144" i="19"/>
  <c r="H96" i="19"/>
  <c r="I96" i="19"/>
  <c r="J129" i="19"/>
  <c r="I129" i="19"/>
  <c r="H129" i="19"/>
  <c r="I74" i="19"/>
  <c r="H74" i="19"/>
  <c r="J84" i="19"/>
  <c r="I84" i="19"/>
  <c r="H84" i="19"/>
  <c r="J89" i="19"/>
  <c r="H89" i="19"/>
  <c r="I89" i="19"/>
  <c r="I97" i="19"/>
  <c r="H97" i="19"/>
  <c r="G105" i="19"/>
  <c r="J112" i="19"/>
  <c r="I112" i="19"/>
  <c r="H112" i="19"/>
  <c r="I131" i="19"/>
  <c r="H131" i="19"/>
  <c r="J57" i="19"/>
  <c r="I57" i="19"/>
  <c r="H57" i="19"/>
  <c r="J59" i="19"/>
  <c r="I59" i="19"/>
  <c r="H59" i="19"/>
  <c r="I61" i="19"/>
  <c r="H61" i="19"/>
  <c r="G65" i="19"/>
  <c r="J66" i="19"/>
  <c r="I66" i="19"/>
  <c r="H66" i="19"/>
  <c r="I68" i="19"/>
  <c r="H68" i="19"/>
  <c r="J70" i="19"/>
  <c r="I70" i="19"/>
  <c r="H70" i="19"/>
  <c r="J72" i="19"/>
  <c r="I72" i="19"/>
  <c r="H72" i="19"/>
  <c r="I80" i="19"/>
  <c r="G79" i="19"/>
  <c r="H80" i="19"/>
  <c r="J116" i="19"/>
  <c r="I116" i="19"/>
  <c r="H116" i="19"/>
  <c r="I123" i="19"/>
  <c r="H123" i="19"/>
  <c r="J75" i="19"/>
  <c r="I75" i="19"/>
  <c r="H75" i="19"/>
  <c r="J81" i="19"/>
  <c r="I81" i="19"/>
  <c r="H81" i="19"/>
  <c r="I90" i="19"/>
  <c r="H90" i="19"/>
  <c r="J99" i="19"/>
  <c r="I99" i="19"/>
  <c r="H99" i="19"/>
  <c r="G135" i="19"/>
  <c r="J136" i="19"/>
  <c r="I136" i="19"/>
  <c r="H136" i="19"/>
  <c r="J110" i="19"/>
  <c r="I110" i="19"/>
  <c r="H110" i="19"/>
  <c r="J76" i="19"/>
  <c r="I76" i="19"/>
  <c r="H76" i="19"/>
  <c r="J86" i="19"/>
  <c r="I86" i="19"/>
  <c r="H86" i="19"/>
  <c r="H100" i="19"/>
  <c r="J100" i="19"/>
  <c r="I100" i="19"/>
  <c r="J138" i="19"/>
  <c r="I138" i="19"/>
  <c r="H138" i="19"/>
  <c r="J125" i="19"/>
  <c r="I125" i="19"/>
  <c r="H125" i="19"/>
  <c r="G133" i="19"/>
  <c r="J159" i="19"/>
  <c r="I159" i="19"/>
  <c r="H159" i="19"/>
  <c r="I73" i="19"/>
  <c r="H73" i="19"/>
  <c r="J73" i="19"/>
  <c r="J82" i="19"/>
  <c r="I82" i="19"/>
  <c r="H82" i="19"/>
  <c r="J101" i="19"/>
  <c r="I101" i="19"/>
  <c r="H101" i="19"/>
  <c r="J118" i="19"/>
  <c r="I118" i="19"/>
  <c r="H118" i="19"/>
  <c r="J140" i="19"/>
  <c r="I140" i="19"/>
  <c r="H140" i="19"/>
  <c r="J157" i="19"/>
  <c r="I157" i="19"/>
  <c r="H157" i="19"/>
  <c r="H17" i="19"/>
  <c r="J17" i="19"/>
  <c r="I17" i="19"/>
  <c r="H19" i="19"/>
  <c r="J19" i="19"/>
  <c r="I19" i="19"/>
  <c r="H24" i="19"/>
  <c r="J24" i="19"/>
  <c r="I24" i="19"/>
  <c r="G23" i="19"/>
  <c r="H26" i="19"/>
  <c r="J26" i="19"/>
  <c r="I26" i="19"/>
  <c r="H28" i="19"/>
  <c r="J28" i="19"/>
  <c r="I28" i="19"/>
  <c r="H30" i="19"/>
  <c r="J30" i="19"/>
  <c r="I30" i="19"/>
  <c r="H32" i="19"/>
  <c r="J32" i="19"/>
  <c r="I32" i="19"/>
  <c r="H34" i="19"/>
  <c r="J34" i="19"/>
  <c r="I34" i="19"/>
  <c r="H39" i="19"/>
  <c r="J39" i="19"/>
  <c r="I39" i="19"/>
  <c r="H41" i="19"/>
  <c r="G49" i="19"/>
  <c r="J41" i="19"/>
  <c r="I41" i="19"/>
  <c r="H43" i="19"/>
  <c r="J43" i="19"/>
  <c r="I43" i="19"/>
  <c r="H45" i="19"/>
  <c r="J45" i="19"/>
  <c r="I45" i="19"/>
  <c r="H47" i="19"/>
  <c r="J47" i="19"/>
  <c r="I47" i="19"/>
  <c r="H52" i="19"/>
  <c r="J52" i="19"/>
  <c r="I52" i="19"/>
  <c r="G51" i="19"/>
  <c r="H54" i="19"/>
  <c r="J54" i="19"/>
  <c r="I54" i="19"/>
  <c r="H56" i="19"/>
  <c r="J56" i="19"/>
  <c r="I56" i="19"/>
  <c r="H58" i="19"/>
  <c r="J58" i="19"/>
  <c r="I58" i="19"/>
  <c r="H60" i="19"/>
  <c r="J60" i="19"/>
  <c r="I60" i="19"/>
  <c r="H62" i="19"/>
  <c r="J62" i="19"/>
  <c r="I62" i="19"/>
  <c r="H67" i="19"/>
  <c r="J67" i="19"/>
  <c r="I67" i="19"/>
  <c r="G77" i="19"/>
  <c r="H69" i="19"/>
  <c r="J69" i="19"/>
  <c r="I69" i="19"/>
  <c r="H71" i="19"/>
  <c r="J71" i="19"/>
  <c r="I71" i="19"/>
  <c r="J87" i="19"/>
  <c r="H87" i="19"/>
  <c r="I87" i="19"/>
  <c r="J114" i="19"/>
  <c r="I114" i="19"/>
  <c r="H114" i="19"/>
  <c r="J155" i="19"/>
  <c r="I155" i="19"/>
  <c r="H155" i="19"/>
  <c r="H94" i="19"/>
  <c r="J94" i="19"/>
  <c r="G93" i="19"/>
  <c r="I94" i="19"/>
  <c r="H102" i="19"/>
  <c r="J102" i="19"/>
  <c r="I102" i="19"/>
  <c r="J108" i="19"/>
  <c r="I108" i="19"/>
  <c r="G107" i="19"/>
  <c r="H108" i="19"/>
  <c r="J142" i="19"/>
  <c r="I142" i="19"/>
  <c r="H142" i="19"/>
  <c r="J153" i="19"/>
  <c r="I153" i="19"/>
  <c r="G161" i="19"/>
  <c r="H153" i="19"/>
  <c r="H109" i="19"/>
  <c r="J109" i="19"/>
  <c r="I109" i="19"/>
  <c r="H111" i="19"/>
  <c r="G119" i="19"/>
  <c r="J111" i="19"/>
  <c r="I111" i="19"/>
  <c r="H113" i="19"/>
  <c r="J113" i="19"/>
  <c r="I113" i="19"/>
  <c r="H115" i="19"/>
  <c r="J115" i="19"/>
  <c r="I115" i="19"/>
  <c r="H117" i="19"/>
  <c r="J117" i="19"/>
  <c r="I117" i="19"/>
  <c r="H122" i="19"/>
  <c r="J122" i="19"/>
  <c r="I122" i="19"/>
  <c r="G121" i="19"/>
  <c r="H124" i="19"/>
  <c r="J124" i="19"/>
  <c r="I124" i="19"/>
  <c r="H126" i="19"/>
  <c r="J126" i="19"/>
  <c r="I126" i="19"/>
  <c r="H128" i="19"/>
  <c r="J128" i="19"/>
  <c r="I128" i="19"/>
  <c r="H130" i="19"/>
  <c r="J130" i="19"/>
  <c r="I130" i="19"/>
  <c r="H132" i="19"/>
  <c r="J132" i="19"/>
  <c r="I132" i="19"/>
  <c r="H137" i="19"/>
  <c r="J137" i="19"/>
  <c r="I137" i="19"/>
  <c r="H139" i="19"/>
  <c r="G147" i="19"/>
  <c r="J139" i="19"/>
  <c r="I139" i="19"/>
  <c r="H141" i="19"/>
  <c r="J141" i="19"/>
  <c r="I141" i="19"/>
  <c r="H143" i="19"/>
  <c r="J143" i="19"/>
  <c r="I143" i="19"/>
  <c r="H145" i="19"/>
  <c r="J145" i="19"/>
  <c r="I145" i="19"/>
  <c r="H150" i="19"/>
  <c r="J150" i="19"/>
  <c r="I150" i="19"/>
  <c r="G149" i="19"/>
  <c r="H152" i="19"/>
  <c r="J152" i="19"/>
  <c r="I152" i="19"/>
  <c r="H154" i="19"/>
  <c r="J154" i="19"/>
  <c r="I154" i="19"/>
  <c r="H156" i="19"/>
  <c r="J156" i="19"/>
  <c r="I156" i="19"/>
  <c r="H158" i="19"/>
  <c r="J158" i="19"/>
  <c r="I158" i="19"/>
  <c r="H160" i="19"/>
  <c r="J160" i="19"/>
  <c r="I160" i="19"/>
  <c r="Y27" i="19"/>
  <c r="W35" i="19"/>
  <c r="X27" i="19"/>
  <c r="Y33" i="19"/>
  <c r="X33" i="19"/>
  <c r="E149" i="19"/>
  <c r="E147" i="19"/>
  <c r="E121" i="19"/>
  <c r="E119" i="19"/>
  <c r="E161" i="19"/>
  <c r="E91" i="19"/>
  <c r="E107" i="19"/>
  <c r="E93" i="19"/>
  <c r="E77" i="19"/>
  <c r="E51" i="19"/>
  <c r="E49" i="19"/>
  <c r="E23" i="19"/>
  <c r="E133" i="19"/>
  <c r="E135" i="19"/>
  <c r="E79" i="19"/>
  <c r="E65" i="19"/>
  <c r="E63" i="19"/>
  <c r="E105" i="19"/>
  <c r="E35" i="19"/>
  <c r="E9" i="19"/>
  <c r="E37" i="19"/>
  <c r="D7" i="19"/>
  <c r="E21" i="19"/>
  <c r="O121" i="19"/>
  <c r="R122" i="19"/>
  <c r="Q122" i="19"/>
  <c r="P122" i="19"/>
  <c r="J29" i="19"/>
  <c r="I29" i="19"/>
  <c r="H29" i="19"/>
  <c r="J16" i="19"/>
  <c r="I16" i="19"/>
  <c r="H16" i="19"/>
  <c r="P95" i="19"/>
  <c r="R95" i="19"/>
  <c r="Q95" i="19"/>
  <c r="Y89" i="19"/>
  <c r="X89" i="19"/>
  <c r="Y53" i="19"/>
  <c r="X53" i="19"/>
  <c r="Y20" i="19"/>
  <c r="X20" i="19"/>
  <c r="Y74" i="19"/>
  <c r="X74" i="19"/>
  <c r="Y84" i="19"/>
  <c r="X84" i="19"/>
  <c r="Y97" i="19"/>
  <c r="W105" i="19"/>
  <c r="X97" i="19"/>
  <c r="Y138" i="19"/>
  <c r="X138" i="19"/>
  <c r="Y80" i="19"/>
  <c r="W79" i="19"/>
  <c r="X80" i="19"/>
  <c r="X98" i="19"/>
  <c r="Y98" i="19"/>
  <c r="Y110" i="19"/>
  <c r="X110" i="19"/>
  <c r="Y125" i="19"/>
  <c r="W133" i="19"/>
  <c r="X125" i="19"/>
  <c r="Y140" i="19"/>
  <c r="X140" i="19"/>
  <c r="Y155" i="19"/>
  <c r="X155" i="19"/>
  <c r="Y85" i="19"/>
  <c r="X85" i="19"/>
  <c r="Y118" i="19"/>
  <c r="X118" i="19"/>
  <c r="Y153" i="19"/>
  <c r="W161" i="19"/>
  <c r="X153" i="19"/>
  <c r="Y75" i="19"/>
  <c r="X75" i="19"/>
  <c r="Y90" i="19"/>
  <c r="X90" i="19"/>
  <c r="Y99" i="19"/>
  <c r="X99" i="19"/>
  <c r="Y142" i="19"/>
  <c r="X142" i="19"/>
  <c r="Y151" i="19"/>
  <c r="X151" i="19"/>
  <c r="Y57" i="19"/>
  <c r="X57" i="19"/>
  <c r="Y59" i="19"/>
  <c r="X59" i="19"/>
  <c r="Y61" i="19"/>
  <c r="X61" i="19"/>
  <c r="W65" i="19"/>
  <c r="Y66" i="19"/>
  <c r="X66" i="19"/>
  <c r="Y68" i="19"/>
  <c r="X68" i="19"/>
  <c r="Y70" i="19"/>
  <c r="X70" i="19"/>
  <c r="Y72" i="19"/>
  <c r="X72" i="19"/>
  <c r="Y81" i="19"/>
  <c r="X81" i="19"/>
  <c r="Y114" i="19"/>
  <c r="X114" i="19"/>
  <c r="X100" i="19"/>
  <c r="Y100" i="19"/>
  <c r="Y127" i="19"/>
  <c r="X127" i="19"/>
  <c r="Y144" i="19"/>
  <c r="X144" i="19"/>
  <c r="Y146" i="19"/>
  <c r="X146" i="19"/>
  <c r="Y76" i="19"/>
  <c r="X76" i="19"/>
  <c r="Y86" i="19"/>
  <c r="X86" i="19"/>
  <c r="W107" i="19"/>
  <c r="Y108" i="19"/>
  <c r="X108" i="19"/>
  <c r="Y101" i="19"/>
  <c r="X101" i="19"/>
  <c r="Y129" i="19"/>
  <c r="X129" i="19"/>
  <c r="Y82" i="19"/>
  <c r="X82" i="19"/>
  <c r="X102" i="19"/>
  <c r="Y102" i="19"/>
  <c r="Y87" i="19"/>
  <c r="X87" i="19"/>
  <c r="X94" i="19"/>
  <c r="Y94" i="19"/>
  <c r="W93" i="19"/>
  <c r="Y103" i="19"/>
  <c r="X103" i="19"/>
  <c r="X104" i="19"/>
  <c r="Y104" i="19"/>
  <c r="Y131" i="19"/>
  <c r="X131" i="19"/>
  <c r="Y73" i="19"/>
  <c r="X73" i="19"/>
  <c r="Y83" i="19"/>
  <c r="X83" i="19"/>
  <c r="W91" i="19"/>
  <c r="Y95" i="19"/>
  <c r="X95" i="19"/>
  <c r="X17" i="19"/>
  <c r="Y17" i="19"/>
  <c r="X19" i="19"/>
  <c r="Y19" i="19"/>
  <c r="X24" i="19"/>
  <c r="W23" i="19"/>
  <c r="Y24" i="19"/>
  <c r="X26" i="19"/>
  <c r="Y26" i="19"/>
  <c r="X28" i="19"/>
  <c r="Y28" i="19"/>
  <c r="X30" i="19"/>
  <c r="Y30" i="19"/>
  <c r="X32" i="19"/>
  <c r="Y32" i="19"/>
  <c r="X34" i="19"/>
  <c r="Y34" i="19"/>
  <c r="X39" i="19"/>
  <c r="Y39" i="19"/>
  <c r="X41" i="19"/>
  <c r="W49" i="19"/>
  <c r="Y41" i="19"/>
  <c r="X43" i="19"/>
  <c r="Y43" i="19"/>
  <c r="X45" i="19"/>
  <c r="Y45" i="19"/>
  <c r="X47" i="19"/>
  <c r="Y47" i="19"/>
  <c r="X52" i="19"/>
  <c r="Y52" i="19"/>
  <c r="W51" i="19"/>
  <c r="X54" i="19"/>
  <c r="Y54" i="19"/>
  <c r="X56" i="19"/>
  <c r="Y56" i="19"/>
  <c r="X58" i="19"/>
  <c r="Y58" i="19"/>
  <c r="X60" i="19"/>
  <c r="Y60" i="19"/>
  <c r="X62" i="19"/>
  <c r="Y62" i="19"/>
  <c r="X67" i="19"/>
  <c r="Y67" i="19"/>
  <c r="X69" i="19"/>
  <c r="W77" i="19"/>
  <c r="Y69" i="19"/>
  <c r="X71" i="19"/>
  <c r="Y71" i="19"/>
  <c r="Y112" i="19"/>
  <c r="X112" i="19"/>
  <c r="Y116" i="19"/>
  <c r="X116" i="19"/>
  <c r="Y123" i="19"/>
  <c r="X123" i="19"/>
  <c r="Y88" i="19"/>
  <c r="X88" i="19"/>
  <c r="X96" i="19"/>
  <c r="Y96" i="19"/>
  <c r="W135" i="19"/>
  <c r="Y136" i="19"/>
  <c r="X136" i="19"/>
  <c r="Y159" i="19"/>
  <c r="X159" i="19"/>
  <c r="X109" i="19"/>
  <c r="Y109" i="19"/>
  <c r="X111" i="19"/>
  <c r="W119" i="19"/>
  <c r="Y111" i="19"/>
  <c r="X113" i="19"/>
  <c r="Y113" i="19"/>
  <c r="X115" i="19"/>
  <c r="Y115" i="19"/>
  <c r="X117" i="19"/>
  <c r="Y117" i="19"/>
  <c r="X122" i="19"/>
  <c r="W121" i="19"/>
  <c r="Y122" i="19"/>
  <c r="X124" i="19"/>
  <c r="Y124" i="19"/>
  <c r="X126" i="19"/>
  <c r="Y126" i="19"/>
  <c r="X128" i="19"/>
  <c r="Y128" i="19"/>
  <c r="X130" i="19"/>
  <c r="Y130" i="19"/>
  <c r="X132" i="19"/>
  <c r="Y132" i="19"/>
  <c r="X137" i="19"/>
  <c r="Y137" i="19"/>
  <c r="X139" i="19"/>
  <c r="W147" i="19"/>
  <c r="Y139" i="19"/>
  <c r="X141" i="19"/>
  <c r="Y141" i="19"/>
  <c r="X143" i="19"/>
  <c r="Y143" i="19"/>
  <c r="X145" i="19"/>
  <c r="Y145" i="19"/>
  <c r="X150" i="19"/>
  <c r="Y150" i="19"/>
  <c r="W149" i="19"/>
  <c r="X152" i="19"/>
  <c r="Y152" i="19"/>
  <c r="X154" i="19"/>
  <c r="Y154" i="19"/>
  <c r="X156" i="19"/>
  <c r="Y156" i="19"/>
  <c r="X158" i="19"/>
  <c r="Y158" i="19"/>
  <c r="X160" i="19"/>
  <c r="Y160" i="19"/>
  <c r="J151" i="19"/>
  <c r="I151" i="19"/>
  <c r="H151" i="19"/>
  <c r="J85" i="19"/>
  <c r="I85" i="19"/>
  <c r="H85" i="19"/>
  <c r="Y31" i="19"/>
  <c r="X31" i="19"/>
  <c r="J18" i="19"/>
  <c r="I18" i="19"/>
  <c r="H18" i="19"/>
  <c r="T149" i="19"/>
  <c r="T147" i="19"/>
  <c r="T121" i="19"/>
  <c r="T119" i="19"/>
  <c r="T105" i="19"/>
  <c r="T135" i="19"/>
  <c r="T77" i="19"/>
  <c r="T51" i="19"/>
  <c r="T49" i="19"/>
  <c r="T23" i="19"/>
  <c r="T91" i="19"/>
  <c r="T93" i="19"/>
  <c r="T107" i="19"/>
  <c r="T161" i="19"/>
  <c r="T65" i="19"/>
  <c r="T63" i="19"/>
  <c r="T21" i="19"/>
  <c r="T37" i="19"/>
  <c r="T133" i="19"/>
  <c r="T9" i="19"/>
  <c r="T35" i="19"/>
  <c r="T79" i="19"/>
  <c r="S7" i="19"/>
  <c r="Y7" i="19" s="1"/>
  <c r="Z27" i="19"/>
  <c r="U35" i="19"/>
  <c r="Z35" i="19" s="1"/>
  <c r="Z10" i="19"/>
  <c r="U9" i="19"/>
  <c r="U37" i="19"/>
  <c r="Z37" i="19" s="1"/>
  <c r="U21" i="19"/>
  <c r="Z21" i="19" s="1"/>
  <c r="Z13" i="19"/>
  <c r="Z80" i="19"/>
  <c r="U79" i="19"/>
  <c r="Z79" i="19" s="1"/>
  <c r="U133" i="19"/>
  <c r="Z133" i="19" s="1"/>
  <c r="Z55" i="19"/>
  <c r="U63" i="19"/>
  <c r="Z63" i="19" s="1"/>
  <c r="U65" i="19"/>
  <c r="Z65" i="19" s="1"/>
  <c r="Z66" i="19"/>
  <c r="U107" i="19"/>
  <c r="Z107" i="19" s="1"/>
  <c r="Z108" i="19"/>
  <c r="Z94" i="19"/>
  <c r="U93" i="19"/>
  <c r="Z93" i="19" s="1"/>
  <c r="Z83" i="19"/>
  <c r="U91" i="19"/>
  <c r="Z91" i="19" s="1"/>
  <c r="Z24" i="19"/>
  <c r="U23" i="19"/>
  <c r="Z23" i="19" s="1"/>
  <c r="U49" i="19"/>
  <c r="Z49" i="19" s="1"/>
  <c r="Z41" i="19"/>
  <c r="U51" i="19"/>
  <c r="Z51" i="19" s="1"/>
  <c r="Z52" i="19"/>
  <c r="U77" i="19"/>
  <c r="Z77" i="19" s="1"/>
  <c r="Z69" i="19"/>
  <c r="U135" i="19"/>
  <c r="Z135" i="19" s="1"/>
  <c r="Z136" i="19"/>
  <c r="Z97" i="19"/>
  <c r="U105" i="19"/>
  <c r="Z105" i="19" s="1"/>
  <c r="Z153" i="19"/>
  <c r="U161" i="19"/>
  <c r="Z161" i="19" s="1"/>
  <c r="U119" i="19"/>
  <c r="Z119" i="19" s="1"/>
  <c r="Z111" i="19"/>
  <c r="Z122" i="19"/>
  <c r="U121" i="19"/>
  <c r="Z121" i="19" s="1"/>
  <c r="U147" i="19"/>
  <c r="Z147" i="19" s="1"/>
  <c r="Z139" i="19"/>
  <c r="U149" i="19"/>
  <c r="Z149" i="19" s="1"/>
  <c r="Z150" i="19"/>
  <c r="Q111" i="18"/>
  <c r="P104" i="18"/>
  <c r="Q96" i="18"/>
  <c r="R96" i="18"/>
  <c r="I33" i="18"/>
  <c r="I25" i="18"/>
  <c r="I24" i="18"/>
  <c r="J157" i="17"/>
  <c r="I157" i="17"/>
  <c r="K157" i="17"/>
  <c r="K138" i="17"/>
  <c r="J138" i="17"/>
  <c r="I138" i="17"/>
  <c r="K87" i="17"/>
  <c r="J87" i="17"/>
  <c r="I87" i="17"/>
  <c r="K68" i="17"/>
  <c r="J68" i="17"/>
  <c r="I68" i="17"/>
  <c r="K54" i="17"/>
  <c r="J54" i="17"/>
  <c r="I54" i="17"/>
  <c r="Q14" i="18"/>
  <c r="Q9" i="18"/>
  <c r="P8" i="18"/>
  <c r="R111" i="18" s="1"/>
  <c r="R9" i="18"/>
  <c r="K154" i="17"/>
  <c r="I154" i="17"/>
  <c r="J154" i="17"/>
  <c r="I115" i="17"/>
  <c r="K115" i="17"/>
  <c r="J115" i="17"/>
  <c r="I96" i="17"/>
  <c r="K96" i="17"/>
  <c r="J96" i="17"/>
  <c r="I76" i="17"/>
  <c r="K76" i="17"/>
  <c r="J76" i="17"/>
  <c r="I44" i="17"/>
  <c r="J44" i="17"/>
  <c r="K44" i="17"/>
  <c r="I27" i="17"/>
  <c r="H35" i="17"/>
  <c r="K27" i="17"/>
  <c r="J27" i="17"/>
  <c r="I16" i="17"/>
  <c r="K16" i="17"/>
  <c r="J16" i="17"/>
  <c r="I41" i="18"/>
  <c r="R16" i="18"/>
  <c r="Q16" i="18"/>
  <c r="Q11" i="18"/>
  <c r="K112" i="17"/>
  <c r="J112" i="17"/>
  <c r="I112" i="17"/>
  <c r="J73" i="17"/>
  <c r="I73" i="17"/>
  <c r="K73" i="17"/>
  <c r="J52" i="17"/>
  <c r="I52" i="17"/>
  <c r="H51" i="17"/>
  <c r="K52" i="17"/>
  <c r="J34" i="17"/>
  <c r="I34" i="17"/>
  <c r="K34" i="17"/>
  <c r="K62" i="17"/>
  <c r="J62" i="17"/>
  <c r="I62" i="17"/>
  <c r="K80" i="17"/>
  <c r="J80" i="17"/>
  <c r="I80" i="17"/>
  <c r="H79" i="17"/>
  <c r="K97" i="17"/>
  <c r="J97" i="17"/>
  <c r="I97" i="17"/>
  <c r="H105" i="17"/>
  <c r="K114" i="17"/>
  <c r="J114" i="17"/>
  <c r="I114" i="17"/>
  <c r="K131" i="17"/>
  <c r="J131" i="17"/>
  <c r="I131" i="17"/>
  <c r="K72" i="17"/>
  <c r="J72" i="17"/>
  <c r="I72" i="17"/>
  <c r="K89" i="17"/>
  <c r="J89" i="17"/>
  <c r="I89" i="17"/>
  <c r="K124" i="17"/>
  <c r="J124" i="17"/>
  <c r="I124" i="17"/>
  <c r="K141" i="17"/>
  <c r="J141" i="17"/>
  <c r="I141" i="17"/>
  <c r="K158" i="17"/>
  <c r="J158" i="17"/>
  <c r="I158" i="17"/>
  <c r="J82" i="17"/>
  <c r="I82" i="17"/>
  <c r="K82" i="17"/>
  <c r="J99" i="17"/>
  <c r="I99" i="17"/>
  <c r="K99" i="17"/>
  <c r="J116" i="17"/>
  <c r="I116" i="17"/>
  <c r="K116" i="17"/>
  <c r="J151" i="17"/>
  <c r="I151" i="17"/>
  <c r="K151" i="17"/>
  <c r="I74" i="17"/>
  <c r="K74" i="17"/>
  <c r="J74" i="17"/>
  <c r="I109" i="17"/>
  <c r="K109" i="17"/>
  <c r="J109" i="17"/>
  <c r="I126" i="17"/>
  <c r="K126" i="17"/>
  <c r="J126" i="17"/>
  <c r="I143" i="17"/>
  <c r="J143" i="17"/>
  <c r="K143" i="17"/>
  <c r="I160" i="17"/>
  <c r="K160" i="17"/>
  <c r="J160" i="17"/>
  <c r="K67" i="17"/>
  <c r="J67" i="17"/>
  <c r="I67" i="17"/>
  <c r="K84" i="17"/>
  <c r="J84" i="17"/>
  <c r="I84" i="17"/>
  <c r="K101" i="17"/>
  <c r="J101" i="17"/>
  <c r="I101" i="17"/>
  <c r="K118" i="17"/>
  <c r="J118" i="17"/>
  <c r="I118" i="17"/>
  <c r="H135" i="17"/>
  <c r="K136" i="17"/>
  <c r="J136" i="17"/>
  <c r="I136" i="17"/>
  <c r="H161" i="17"/>
  <c r="K153" i="17"/>
  <c r="J153" i="17"/>
  <c r="I153" i="17"/>
  <c r="R18" i="18"/>
  <c r="Q18" i="18"/>
  <c r="K140" i="17"/>
  <c r="J140" i="17"/>
  <c r="I140" i="17"/>
  <c r="K70" i="17"/>
  <c r="J70" i="17"/>
  <c r="I70" i="17"/>
  <c r="K42" i="17"/>
  <c r="J42" i="17"/>
  <c r="I42" i="17"/>
  <c r="P48" i="18"/>
  <c r="R40" i="18"/>
  <c r="Q40" i="18"/>
  <c r="I31" i="18"/>
  <c r="R15" i="18"/>
  <c r="Q15" i="18"/>
  <c r="R47" i="18"/>
  <c r="Q47" i="18"/>
  <c r="P64" i="18"/>
  <c r="R65" i="18"/>
  <c r="Q65" i="18"/>
  <c r="R38" i="18"/>
  <c r="Q38" i="18"/>
  <c r="R55" i="18"/>
  <c r="Q55" i="18"/>
  <c r="R45" i="18"/>
  <c r="Q45" i="18"/>
  <c r="R94" i="18"/>
  <c r="Q94" i="18"/>
  <c r="Q150" i="18"/>
  <c r="R150" i="18"/>
  <c r="R53" i="18"/>
  <c r="Q53" i="18"/>
  <c r="R145" i="18"/>
  <c r="Q145" i="18"/>
  <c r="R43" i="18"/>
  <c r="Q43" i="18"/>
  <c r="R60" i="18"/>
  <c r="Q60" i="18"/>
  <c r="Q68" i="18"/>
  <c r="P76" i="18"/>
  <c r="R68" i="18"/>
  <c r="Q115" i="18"/>
  <c r="R115" i="18"/>
  <c r="R51" i="18"/>
  <c r="Q51" i="18"/>
  <c r="P50" i="18"/>
  <c r="Q81" i="18"/>
  <c r="R81" i="18"/>
  <c r="Q130" i="18"/>
  <c r="R130" i="18"/>
  <c r="R41" i="18"/>
  <c r="Q41" i="18"/>
  <c r="R58" i="18"/>
  <c r="Q58" i="18"/>
  <c r="R69" i="18"/>
  <c r="Q69" i="18"/>
  <c r="R31" i="18"/>
  <c r="Q31" i="18"/>
  <c r="R66" i="18"/>
  <c r="Q66" i="18"/>
  <c r="P78" i="18"/>
  <c r="R79" i="18"/>
  <c r="Q79" i="18"/>
  <c r="R39" i="18"/>
  <c r="Q39" i="18"/>
  <c r="R56" i="18"/>
  <c r="Q56" i="18"/>
  <c r="R70" i="18"/>
  <c r="Q70" i="18"/>
  <c r="Q98" i="18"/>
  <c r="R98" i="18"/>
  <c r="R12" i="18"/>
  <c r="Q12" i="18"/>
  <c r="P20" i="18"/>
  <c r="R29" i="18"/>
  <c r="Q29" i="18"/>
  <c r="R46" i="18"/>
  <c r="Q46" i="18"/>
  <c r="Q113" i="18"/>
  <c r="R113" i="18"/>
  <c r="R19" i="18"/>
  <c r="Q19" i="18"/>
  <c r="R37" i="18"/>
  <c r="Q37" i="18"/>
  <c r="P36" i="18"/>
  <c r="R54" i="18"/>
  <c r="Q54" i="18"/>
  <c r="P62" i="18"/>
  <c r="R128" i="18"/>
  <c r="Q128" i="18"/>
  <c r="Q10" i="18"/>
  <c r="R10" i="18"/>
  <c r="Q27" i="18"/>
  <c r="R27" i="18"/>
  <c r="Q44" i="18"/>
  <c r="R44" i="18"/>
  <c r="Q61" i="18"/>
  <c r="R61" i="18"/>
  <c r="R116" i="18"/>
  <c r="Q116" i="18"/>
  <c r="R17" i="18"/>
  <c r="Q17" i="18"/>
  <c r="R52" i="18"/>
  <c r="Q52" i="18"/>
  <c r="R71" i="18"/>
  <c r="Q71" i="18"/>
  <c r="R88" i="18"/>
  <c r="Q88" i="18"/>
  <c r="R123" i="18"/>
  <c r="Q123" i="18"/>
  <c r="R140" i="18"/>
  <c r="Q140" i="18"/>
  <c r="R157" i="18"/>
  <c r="Q157" i="18"/>
  <c r="R86" i="18"/>
  <c r="Q86" i="18"/>
  <c r="R103" i="18"/>
  <c r="Q103" i="18"/>
  <c r="P120" i="18"/>
  <c r="R121" i="18"/>
  <c r="Q121" i="18"/>
  <c r="P146" i="18"/>
  <c r="R138" i="18"/>
  <c r="Q138" i="18"/>
  <c r="R155" i="18"/>
  <c r="Q155" i="18"/>
  <c r="Q84" i="18"/>
  <c r="R84" i="18"/>
  <c r="Q101" i="18"/>
  <c r="R101" i="18"/>
  <c r="Q136" i="18"/>
  <c r="R136" i="18"/>
  <c r="R153" i="18"/>
  <c r="Q153" i="18"/>
  <c r="R74" i="18"/>
  <c r="Q74" i="18"/>
  <c r="R109" i="18"/>
  <c r="Q109" i="18"/>
  <c r="R126" i="18"/>
  <c r="Q126" i="18"/>
  <c r="R143" i="18"/>
  <c r="Q143" i="18"/>
  <c r="R151" i="18"/>
  <c r="Q151" i="18"/>
  <c r="R72" i="18"/>
  <c r="Q72" i="18"/>
  <c r="R89" i="18"/>
  <c r="Q89" i="18"/>
  <c r="R107" i="18"/>
  <c r="Q107" i="18"/>
  <c r="P106" i="18"/>
  <c r="R124" i="18"/>
  <c r="Q124" i="18"/>
  <c r="P132" i="18"/>
  <c r="R141" i="18"/>
  <c r="Q141" i="18"/>
  <c r="R80" i="18"/>
  <c r="Q80" i="18"/>
  <c r="R97" i="18"/>
  <c r="Q97" i="18"/>
  <c r="R114" i="18"/>
  <c r="Q114" i="18"/>
  <c r="R131" i="18"/>
  <c r="Q131" i="18"/>
  <c r="R149" i="18"/>
  <c r="Q149" i="18"/>
  <c r="P148" i="18"/>
  <c r="R87" i="18"/>
  <c r="Q87" i="18"/>
  <c r="R122" i="18"/>
  <c r="Q122" i="18"/>
  <c r="R139" i="18"/>
  <c r="Q139" i="18"/>
  <c r="R156" i="18"/>
  <c r="Q156" i="18"/>
  <c r="Q159" i="18"/>
  <c r="R159" i="18"/>
  <c r="R95" i="18"/>
  <c r="Q95" i="18"/>
  <c r="R112" i="18"/>
  <c r="Q112" i="18"/>
  <c r="R129" i="18"/>
  <c r="Q129" i="18"/>
  <c r="R85" i="18"/>
  <c r="Q85" i="18"/>
  <c r="R102" i="18"/>
  <c r="Q102" i="18"/>
  <c r="R137" i="18"/>
  <c r="Q137" i="18"/>
  <c r="R154" i="18"/>
  <c r="Q154" i="18"/>
  <c r="R75" i="18"/>
  <c r="Q75" i="18"/>
  <c r="R93" i="18"/>
  <c r="Q93" i="18"/>
  <c r="P92" i="18"/>
  <c r="R110" i="18"/>
  <c r="Q110" i="18"/>
  <c r="P118" i="18"/>
  <c r="R127" i="18"/>
  <c r="Q127" i="18"/>
  <c r="R144" i="18"/>
  <c r="Q144" i="18"/>
  <c r="Q83" i="18"/>
  <c r="R83" i="18"/>
  <c r="Q100" i="18"/>
  <c r="R100" i="18"/>
  <c r="Q117" i="18"/>
  <c r="R117" i="18"/>
  <c r="Q135" i="18"/>
  <c r="R135" i="18"/>
  <c r="P134" i="18"/>
  <c r="Q152" i="18"/>
  <c r="P160" i="18"/>
  <c r="R152" i="18"/>
  <c r="R73" i="18"/>
  <c r="Q73" i="18"/>
  <c r="R108" i="18"/>
  <c r="Q108" i="18"/>
  <c r="R125" i="18"/>
  <c r="Q125" i="18"/>
  <c r="R142" i="18"/>
  <c r="Q142" i="18"/>
  <c r="R158" i="18"/>
  <c r="Q158" i="18"/>
  <c r="K156" i="17"/>
  <c r="J156" i="17"/>
  <c r="I156" i="17"/>
  <c r="K137" i="17"/>
  <c r="J137" i="17"/>
  <c r="I137" i="17"/>
  <c r="K117" i="17"/>
  <c r="J117" i="17"/>
  <c r="I117" i="17"/>
  <c r="K98" i="17"/>
  <c r="J98" i="17"/>
  <c r="I98" i="17"/>
  <c r="K59" i="17"/>
  <c r="J59" i="17"/>
  <c r="I59" i="17"/>
  <c r="K32" i="17"/>
  <c r="J32" i="17"/>
  <c r="I32" i="17"/>
  <c r="K145" i="17"/>
  <c r="J145" i="17"/>
  <c r="I145" i="17"/>
  <c r="R28" i="18"/>
  <c r="Q28" i="18"/>
  <c r="K142" i="17"/>
  <c r="J142" i="17"/>
  <c r="I142" i="17"/>
  <c r="K123" i="17"/>
  <c r="J123" i="17"/>
  <c r="I123" i="17"/>
  <c r="K103" i="17"/>
  <c r="J103" i="17"/>
  <c r="I103" i="17"/>
  <c r="K47" i="17"/>
  <c r="J47" i="17"/>
  <c r="I47" i="17"/>
  <c r="J27" i="18"/>
  <c r="I27" i="18"/>
  <c r="I15" i="18"/>
  <c r="I10" i="18"/>
  <c r="K139" i="17"/>
  <c r="J139" i="17"/>
  <c r="I139" i="17"/>
  <c r="H147" i="17"/>
  <c r="K100" i="17"/>
  <c r="J100" i="17"/>
  <c r="I100" i="17"/>
  <c r="K81" i="17"/>
  <c r="J81" i="17"/>
  <c r="I81" i="17"/>
  <c r="K61" i="17"/>
  <c r="J61" i="17"/>
  <c r="I61" i="17"/>
  <c r="K55" i="17"/>
  <c r="I55" i="17"/>
  <c r="H63" i="17"/>
  <c r="J55" i="17"/>
  <c r="H37" i="17"/>
  <c r="K38" i="17"/>
  <c r="I38" i="17"/>
  <c r="J38" i="17"/>
  <c r="K13" i="17"/>
  <c r="I13" i="17"/>
  <c r="H21" i="17"/>
  <c r="J13" i="17"/>
  <c r="R59" i="18"/>
  <c r="Q59" i="18"/>
  <c r="R24" i="18"/>
  <c r="Q24" i="18"/>
  <c r="J17" i="18"/>
  <c r="I17" i="18"/>
  <c r="H20" i="18"/>
  <c r="J12" i="18"/>
  <c r="I12" i="18"/>
  <c r="K128" i="17"/>
  <c r="J128" i="17"/>
  <c r="I128" i="17"/>
  <c r="J45" i="17"/>
  <c r="I45" i="17"/>
  <c r="K45" i="17"/>
  <c r="J28" i="17"/>
  <c r="I28" i="17"/>
  <c r="K28" i="17"/>
  <c r="I102" i="18"/>
  <c r="I87" i="18"/>
  <c r="R67" i="18"/>
  <c r="Q67" i="18"/>
  <c r="I19" i="18"/>
  <c r="J14" i="18"/>
  <c r="I14" i="18"/>
  <c r="I16" i="18"/>
  <c r="R99" i="18"/>
  <c r="Q99" i="18"/>
  <c r="R33" i="18"/>
  <c r="Q33" i="18"/>
  <c r="H149" i="17"/>
  <c r="K150" i="17"/>
  <c r="J150" i="17"/>
  <c r="I150" i="17"/>
  <c r="H50" i="18"/>
  <c r="J51" i="18"/>
  <c r="I51" i="18"/>
  <c r="Q30" i="18"/>
  <c r="R30" i="18"/>
  <c r="J39" i="18"/>
  <c r="I39" i="18"/>
  <c r="I56" i="18"/>
  <c r="I70" i="18"/>
  <c r="J71" i="18"/>
  <c r="I71" i="18"/>
  <c r="H132" i="18"/>
  <c r="I124" i="18"/>
  <c r="I29" i="18"/>
  <c r="I46" i="18"/>
  <c r="J85" i="18"/>
  <c r="I85" i="18"/>
  <c r="I139" i="18"/>
  <c r="H36" i="18"/>
  <c r="I37" i="18"/>
  <c r="H62" i="18"/>
  <c r="J54" i="18"/>
  <c r="I54" i="18"/>
  <c r="J73" i="18"/>
  <c r="I73" i="18"/>
  <c r="I44" i="18"/>
  <c r="I61" i="18"/>
  <c r="J142" i="18"/>
  <c r="I142" i="18"/>
  <c r="J156" i="18"/>
  <c r="I156" i="18"/>
  <c r="I52" i="18"/>
  <c r="H106" i="18"/>
  <c r="I107" i="18"/>
  <c r="J107" i="18"/>
  <c r="J42" i="18"/>
  <c r="I42" i="18"/>
  <c r="J59" i="18"/>
  <c r="I59" i="18"/>
  <c r="I122" i="18"/>
  <c r="J32" i="18"/>
  <c r="I32" i="18"/>
  <c r="J67" i="18"/>
  <c r="I67" i="18"/>
  <c r="I137" i="18"/>
  <c r="J23" i="18"/>
  <c r="I23" i="18"/>
  <c r="H22" i="18"/>
  <c r="J40" i="18"/>
  <c r="I40" i="18"/>
  <c r="H48" i="18"/>
  <c r="J57" i="18"/>
  <c r="I57" i="18"/>
  <c r="J125" i="18"/>
  <c r="I125" i="18"/>
  <c r="J13" i="18"/>
  <c r="I13" i="18"/>
  <c r="J30" i="18"/>
  <c r="I30" i="18"/>
  <c r="I47" i="18"/>
  <c r="J65" i="18"/>
  <c r="I65" i="18"/>
  <c r="H64" i="18"/>
  <c r="I89" i="18"/>
  <c r="J89" i="18"/>
  <c r="I158" i="18"/>
  <c r="J158" i="18"/>
  <c r="J38" i="18"/>
  <c r="I38" i="18"/>
  <c r="I55" i="18"/>
  <c r="I72" i="18"/>
  <c r="J72" i="18"/>
  <c r="J11" i="18"/>
  <c r="I11" i="18"/>
  <c r="I28" i="18"/>
  <c r="J45" i="18"/>
  <c r="I45" i="18"/>
  <c r="I18" i="18"/>
  <c r="J18" i="18"/>
  <c r="I53" i="18"/>
  <c r="J53" i="18"/>
  <c r="J108" i="18"/>
  <c r="I108" i="18"/>
  <c r="H8" i="18"/>
  <c r="J25" i="18" s="1"/>
  <c r="J9" i="18"/>
  <c r="I9" i="18"/>
  <c r="H34" i="18"/>
  <c r="J26" i="18"/>
  <c r="I26" i="18"/>
  <c r="J43" i="18"/>
  <c r="I43" i="18"/>
  <c r="J60" i="18"/>
  <c r="I60" i="18"/>
  <c r="H76" i="18"/>
  <c r="J68" i="18"/>
  <c r="I68" i="18"/>
  <c r="I141" i="18"/>
  <c r="J141" i="18"/>
  <c r="I80" i="18"/>
  <c r="J80" i="18"/>
  <c r="J97" i="18"/>
  <c r="I97" i="18"/>
  <c r="J114" i="18"/>
  <c r="I114" i="18"/>
  <c r="J131" i="18"/>
  <c r="I131" i="18"/>
  <c r="H148" i="18"/>
  <c r="J149" i="18"/>
  <c r="I149" i="18"/>
  <c r="J95" i="18"/>
  <c r="I95" i="18"/>
  <c r="J112" i="18"/>
  <c r="I112" i="18"/>
  <c r="J129" i="18"/>
  <c r="I129" i="18"/>
  <c r="J154" i="18"/>
  <c r="I154" i="18"/>
  <c r="I75" i="18"/>
  <c r="J75" i="18"/>
  <c r="H92" i="18"/>
  <c r="I93" i="18"/>
  <c r="J93" i="18"/>
  <c r="H118" i="18"/>
  <c r="I110" i="18"/>
  <c r="J110" i="18"/>
  <c r="I127" i="18"/>
  <c r="J127" i="18"/>
  <c r="J144" i="18"/>
  <c r="I144" i="18"/>
  <c r="J83" i="18"/>
  <c r="I83" i="18"/>
  <c r="J100" i="18"/>
  <c r="I100" i="18"/>
  <c r="J117" i="18"/>
  <c r="I117" i="18"/>
  <c r="H134" i="18"/>
  <c r="J135" i="18"/>
  <c r="I135" i="18"/>
  <c r="H160" i="18"/>
  <c r="J152" i="18"/>
  <c r="I152" i="18"/>
  <c r="J81" i="18"/>
  <c r="I81" i="18"/>
  <c r="J98" i="18"/>
  <c r="I98" i="18"/>
  <c r="J115" i="18"/>
  <c r="I115" i="18"/>
  <c r="J150" i="18"/>
  <c r="I150" i="18"/>
  <c r="J88" i="18"/>
  <c r="I88" i="18"/>
  <c r="J123" i="18"/>
  <c r="I123" i="18"/>
  <c r="J140" i="18"/>
  <c r="I140" i="18"/>
  <c r="J157" i="18"/>
  <c r="I157" i="18"/>
  <c r="J79" i="18"/>
  <c r="I79" i="18"/>
  <c r="H78" i="18"/>
  <c r="J96" i="18"/>
  <c r="I96" i="18"/>
  <c r="H104" i="18"/>
  <c r="J113" i="18"/>
  <c r="I113" i="18"/>
  <c r="J130" i="18"/>
  <c r="I130" i="18"/>
  <c r="J69" i="18"/>
  <c r="I69" i="18"/>
  <c r="J86" i="18"/>
  <c r="I86" i="18"/>
  <c r="J103" i="18"/>
  <c r="I103" i="18"/>
  <c r="J121" i="18"/>
  <c r="I121" i="18"/>
  <c r="H120" i="18"/>
  <c r="J138" i="18"/>
  <c r="I138" i="18"/>
  <c r="H146" i="18"/>
  <c r="J155" i="18"/>
  <c r="I155" i="18"/>
  <c r="J94" i="18"/>
  <c r="I94" i="18"/>
  <c r="J111" i="18"/>
  <c r="I111" i="18"/>
  <c r="J128" i="18"/>
  <c r="I128" i="18"/>
  <c r="J145" i="18"/>
  <c r="I145" i="18"/>
  <c r="J84" i="18"/>
  <c r="I84" i="18"/>
  <c r="J101" i="18"/>
  <c r="I101" i="18"/>
  <c r="J136" i="18"/>
  <c r="I136" i="18"/>
  <c r="J153" i="18"/>
  <c r="I153" i="18"/>
  <c r="I74" i="18"/>
  <c r="J74" i="18"/>
  <c r="I109" i="18"/>
  <c r="J109" i="18"/>
  <c r="I126" i="18"/>
  <c r="J126" i="18"/>
  <c r="I143" i="18"/>
  <c r="J143" i="18"/>
  <c r="J82" i="18"/>
  <c r="I82" i="18"/>
  <c r="H90" i="18"/>
  <c r="J99" i="18"/>
  <c r="I99" i="18"/>
  <c r="J116" i="18"/>
  <c r="I116" i="18"/>
  <c r="J151" i="18"/>
  <c r="I151" i="18"/>
  <c r="I159" i="18"/>
  <c r="J159" i="18"/>
  <c r="K146" i="17"/>
  <c r="J146" i="17"/>
  <c r="I146" i="17"/>
  <c r="K127" i="17"/>
  <c r="J127" i="17"/>
  <c r="I127" i="17"/>
  <c r="X15" i="18"/>
  <c r="J144" i="16"/>
  <c r="I144" i="16"/>
  <c r="J110" i="16"/>
  <c r="I110" i="16"/>
  <c r="J85" i="16"/>
  <c r="I85" i="16"/>
  <c r="J62" i="16"/>
  <c r="I62" i="16"/>
  <c r="J14" i="16"/>
  <c r="I14" i="16"/>
  <c r="U14" i="17"/>
  <c r="V14" i="17"/>
  <c r="I152" i="16"/>
  <c r="J152" i="16"/>
  <c r="I117" i="16"/>
  <c r="J117" i="16"/>
  <c r="H65" i="16"/>
  <c r="I66" i="16"/>
  <c r="J66" i="16"/>
  <c r="I40" i="16"/>
  <c r="K40" i="16"/>
  <c r="J40" i="16"/>
  <c r="I30" i="16"/>
  <c r="J30" i="16"/>
  <c r="J159" i="16"/>
  <c r="I159" i="16"/>
  <c r="K159" i="16"/>
  <c r="H133" i="16"/>
  <c r="J125" i="16"/>
  <c r="I125" i="16"/>
  <c r="J95" i="16"/>
  <c r="I95" i="16"/>
  <c r="J38" i="16"/>
  <c r="I38" i="16"/>
  <c r="H37" i="16"/>
  <c r="J13" i="16"/>
  <c r="I13" i="16"/>
  <c r="H21" i="16"/>
  <c r="K136" i="16"/>
  <c r="J136" i="16"/>
  <c r="I136" i="16"/>
  <c r="H135" i="16"/>
  <c r="J74" i="16"/>
  <c r="I74" i="16"/>
  <c r="J53" i="16"/>
  <c r="I53" i="16"/>
  <c r="J42" i="16"/>
  <c r="K42" i="16"/>
  <c r="I42" i="16"/>
  <c r="J28" i="16"/>
  <c r="I28" i="16"/>
  <c r="W16" i="16"/>
  <c r="V16" i="16"/>
  <c r="U16" i="16"/>
  <c r="Y27" i="18"/>
  <c r="X27" i="18"/>
  <c r="J131" i="16"/>
  <c r="I131" i="16"/>
  <c r="I101" i="16"/>
  <c r="J101" i="16"/>
  <c r="K56" i="16"/>
  <c r="J56" i="16"/>
  <c r="I56" i="16"/>
  <c r="K20" i="16"/>
  <c r="J20" i="16"/>
  <c r="I20" i="16"/>
  <c r="J12" i="16"/>
  <c r="I12" i="16"/>
  <c r="X14" i="18"/>
  <c r="H147" i="16"/>
  <c r="J139" i="16"/>
  <c r="I139" i="16"/>
  <c r="X19" i="18"/>
  <c r="V16" i="17"/>
  <c r="U16" i="17"/>
  <c r="W16" i="17"/>
  <c r="W17" i="17"/>
  <c r="V17" i="17"/>
  <c r="U17" i="17"/>
  <c r="W10" i="17"/>
  <c r="V10" i="17"/>
  <c r="U10" i="17"/>
  <c r="T9" i="17"/>
  <c r="W15" i="17" s="1"/>
  <c r="W18" i="17"/>
  <c r="V18" i="17"/>
  <c r="U18" i="17"/>
  <c r="V11" i="17"/>
  <c r="U11" i="17"/>
  <c r="W11" i="17"/>
  <c r="V19" i="17"/>
  <c r="U19" i="17"/>
  <c r="W19" i="17"/>
  <c r="W12" i="17"/>
  <c r="V12" i="17"/>
  <c r="U12" i="17"/>
  <c r="W20" i="17"/>
  <c r="V20" i="17"/>
  <c r="U20" i="17"/>
  <c r="J146" i="16"/>
  <c r="I146" i="16"/>
  <c r="K112" i="16"/>
  <c r="J112" i="16"/>
  <c r="I112" i="16"/>
  <c r="K33" i="16"/>
  <c r="J33" i="16"/>
  <c r="I33" i="16"/>
  <c r="K19" i="16"/>
  <c r="J19" i="16"/>
  <c r="I19" i="16"/>
  <c r="J11" i="16"/>
  <c r="I11" i="16"/>
  <c r="J154" i="16"/>
  <c r="I154" i="16"/>
  <c r="H105" i="16"/>
  <c r="K97" i="16"/>
  <c r="J97" i="16"/>
  <c r="I97" i="16"/>
  <c r="H23" i="16"/>
  <c r="I24" i="16"/>
  <c r="J24" i="16"/>
  <c r="K127" i="16"/>
  <c r="J127" i="16"/>
  <c r="I127" i="16"/>
  <c r="J90" i="16"/>
  <c r="I90" i="16"/>
  <c r="H79" i="16"/>
  <c r="J80" i="16"/>
  <c r="I80" i="16"/>
  <c r="J58" i="16"/>
  <c r="I58" i="16"/>
  <c r="K58" i="16"/>
  <c r="J31" i="16"/>
  <c r="I31" i="16"/>
  <c r="K31" i="16"/>
  <c r="J18" i="16"/>
  <c r="I18" i="16"/>
  <c r="J10" i="16"/>
  <c r="I10" i="16"/>
  <c r="H9" i="16"/>
  <c r="K95" i="16" s="1"/>
  <c r="Y31" i="18"/>
  <c r="X31" i="18"/>
  <c r="Y13" i="18"/>
  <c r="X13" i="18"/>
  <c r="X66" i="18"/>
  <c r="X58" i="18"/>
  <c r="Y25" i="18"/>
  <c r="X25" i="18"/>
  <c r="Y24" i="18"/>
  <c r="X24" i="18"/>
  <c r="X39" i="18"/>
  <c r="X29" i="18"/>
  <c r="Y29" i="18"/>
  <c r="Y23" i="18"/>
  <c r="X23" i="18"/>
  <c r="W22" i="18"/>
  <c r="Y56" i="18"/>
  <c r="X56" i="18"/>
  <c r="W92" i="18"/>
  <c r="X93" i="18"/>
  <c r="Y32" i="18"/>
  <c r="X32" i="18"/>
  <c r="X69" i="18"/>
  <c r="Y69" i="18"/>
  <c r="X41" i="18"/>
  <c r="X46" i="18"/>
  <c r="X80" i="18"/>
  <c r="Y80" i="18"/>
  <c r="X114" i="18"/>
  <c r="Y114" i="18"/>
  <c r="X144" i="18"/>
  <c r="W148" i="18"/>
  <c r="X149" i="18"/>
  <c r="Y149" i="18"/>
  <c r="W36" i="18"/>
  <c r="X37" i="18"/>
  <c r="Y37" i="18"/>
  <c r="W62" i="18"/>
  <c r="Y54" i="18"/>
  <c r="X54" i="18"/>
  <c r="X129" i="18"/>
  <c r="Y129" i="18"/>
  <c r="Y44" i="18"/>
  <c r="X44" i="18"/>
  <c r="Y61" i="18"/>
  <c r="X61" i="18"/>
  <c r="Y52" i="18"/>
  <c r="X52" i="18"/>
  <c r="Y42" i="18"/>
  <c r="X42" i="18"/>
  <c r="Y59" i="18"/>
  <c r="X59" i="18"/>
  <c r="X97" i="18"/>
  <c r="Y67" i="18"/>
  <c r="X67" i="18"/>
  <c r="Y75" i="18"/>
  <c r="X75" i="18"/>
  <c r="Y85" i="18"/>
  <c r="X85" i="18"/>
  <c r="X112" i="18"/>
  <c r="Y40" i="18"/>
  <c r="X40" i="18"/>
  <c r="W48" i="18"/>
  <c r="Y57" i="18"/>
  <c r="X57" i="18"/>
  <c r="Y127" i="18"/>
  <c r="X127" i="18"/>
  <c r="X30" i="18"/>
  <c r="X47" i="18"/>
  <c r="Y65" i="18"/>
  <c r="X65" i="18"/>
  <c r="W64" i="18"/>
  <c r="Y115" i="18"/>
  <c r="X115" i="18"/>
  <c r="Y38" i="18"/>
  <c r="X38" i="18"/>
  <c r="Y55" i="18"/>
  <c r="X55" i="18"/>
  <c r="Y11" i="18"/>
  <c r="X11" i="18"/>
  <c r="Y28" i="18"/>
  <c r="X28" i="18"/>
  <c r="Y45" i="18"/>
  <c r="X45" i="18"/>
  <c r="W76" i="18"/>
  <c r="Y68" i="18"/>
  <c r="X68" i="18"/>
  <c r="Y81" i="18"/>
  <c r="X81" i="18"/>
  <c r="X95" i="18"/>
  <c r="Y95" i="18"/>
  <c r="Y18" i="18"/>
  <c r="X18" i="18"/>
  <c r="Y53" i="18"/>
  <c r="X53" i="18"/>
  <c r="W118" i="18"/>
  <c r="Y110" i="18"/>
  <c r="X110" i="18"/>
  <c r="X9" i="18"/>
  <c r="W8" i="18"/>
  <c r="Y15" i="18" s="1"/>
  <c r="Y9" i="18"/>
  <c r="X26" i="18"/>
  <c r="W34" i="18"/>
  <c r="Y26" i="18"/>
  <c r="X43" i="18"/>
  <c r="Y43" i="18"/>
  <c r="X60" i="18"/>
  <c r="Y60" i="18"/>
  <c r="Y98" i="18"/>
  <c r="X98" i="18"/>
  <c r="Y16" i="18"/>
  <c r="X16" i="18"/>
  <c r="Y33" i="18"/>
  <c r="X33" i="18"/>
  <c r="W50" i="18"/>
  <c r="Y51" i="18"/>
  <c r="X51" i="18"/>
  <c r="X131" i="18"/>
  <c r="Y131" i="18"/>
  <c r="Y159" i="18"/>
  <c r="X159" i="18"/>
  <c r="Y70" i="18"/>
  <c r="X70" i="18"/>
  <c r="Y87" i="18"/>
  <c r="X87" i="18"/>
  <c r="Y122" i="18"/>
  <c r="X122" i="18"/>
  <c r="Y139" i="18"/>
  <c r="X139" i="18"/>
  <c r="Y156" i="18"/>
  <c r="X156" i="18"/>
  <c r="Y102" i="18"/>
  <c r="X102" i="18"/>
  <c r="Y137" i="18"/>
  <c r="X137" i="18"/>
  <c r="Y154" i="18"/>
  <c r="X154" i="18"/>
  <c r="X83" i="18"/>
  <c r="Y83" i="18"/>
  <c r="X100" i="18"/>
  <c r="Y100" i="18"/>
  <c r="X117" i="18"/>
  <c r="Y117" i="18"/>
  <c r="W134" i="18"/>
  <c r="X135" i="18"/>
  <c r="Y135" i="18"/>
  <c r="Y152" i="18"/>
  <c r="X152" i="18"/>
  <c r="W160" i="18"/>
  <c r="Y73" i="18"/>
  <c r="X73" i="18"/>
  <c r="Y108" i="18"/>
  <c r="X108" i="18"/>
  <c r="Y125" i="18"/>
  <c r="X125" i="18"/>
  <c r="Y142" i="18"/>
  <c r="X142" i="18"/>
  <c r="Y150" i="18"/>
  <c r="X150" i="18"/>
  <c r="X71" i="18"/>
  <c r="Y71" i="18"/>
  <c r="Y88" i="18"/>
  <c r="X88" i="18"/>
  <c r="Y123" i="18"/>
  <c r="X123" i="18"/>
  <c r="Y140" i="18"/>
  <c r="X140" i="18"/>
  <c r="Y157" i="18"/>
  <c r="X157" i="18"/>
  <c r="Y79" i="18"/>
  <c r="X79" i="18"/>
  <c r="W78" i="18"/>
  <c r="Y96" i="18"/>
  <c r="X96" i="18"/>
  <c r="W104" i="18"/>
  <c r="Y113" i="18"/>
  <c r="X113" i="18"/>
  <c r="Y130" i="18"/>
  <c r="X130" i="18"/>
  <c r="Y86" i="18"/>
  <c r="X86" i="18"/>
  <c r="Y103" i="18"/>
  <c r="X103" i="18"/>
  <c r="Y121" i="18"/>
  <c r="X121" i="18"/>
  <c r="W120" i="18"/>
  <c r="Y138" i="18"/>
  <c r="X138" i="18"/>
  <c r="W146" i="18"/>
  <c r="Y155" i="18"/>
  <c r="X155" i="18"/>
  <c r="Y94" i="18"/>
  <c r="X94" i="18"/>
  <c r="Y111" i="18"/>
  <c r="X111" i="18"/>
  <c r="Y128" i="18"/>
  <c r="X128" i="18"/>
  <c r="Y145" i="18"/>
  <c r="X145" i="18"/>
  <c r="Y84" i="18"/>
  <c r="X84" i="18"/>
  <c r="Y101" i="18"/>
  <c r="X101" i="18"/>
  <c r="Y136" i="18"/>
  <c r="X136" i="18"/>
  <c r="Y153" i="18"/>
  <c r="X153" i="18"/>
  <c r="Y74" i="18"/>
  <c r="X74" i="18"/>
  <c r="Y109" i="18"/>
  <c r="X109" i="18"/>
  <c r="Y126" i="18"/>
  <c r="X126" i="18"/>
  <c r="Y143" i="18"/>
  <c r="X143" i="18"/>
  <c r="Y158" i="18"/>
  <c r="X158" i="18"/>
  <c r="X82" i="18"/>
  <c r="W90" i="18"/>
  <c r="Y82" i="18"/>
  <c r="X99" i="18"/>
  <c r="Y99" i="18"/>
  <c r="X116" i="18"/>
  <c r="Y116" i="18"/>
  <c r="X151" i="18"/>
  <c r="Y151" i="18"/>
  <c r="Y72" i="18"/>
  <c r="X72" i="18"/>
  <c r="Y89" i="18"/>
  <c r="X89" i="18"/>
  <c r="W106" i="18"/>
  <c r="Y107" i="18"/>
  <c r="X107" i="18"/>
  <c r="Y124" i="18"/>
  <c r="X124" i="18"/>
  <c r="W132" i="18"/>
  <c r="Y141" i="18"/>
  <c r="X141" i="18"/>
  <c r="K70" i="16"/>
  <c r="J70" i="16"/>
  <c r="I70" i="16"/>
  <c r="K52" i="16"/>
  <c r="J52" i="16"/>
  <c r="I52" i="16"/>
  <c r="H51" i="16"/>
  <c r="K39" i="16"/>
  <c r="J39" i="16"/>
  <c r="I39" i="16"/>
  <c r="K142" i="16"/>
  <c r="J142" i="16"/>
  <c r="I142" i="16"/>
  <c r="H107" i="16"/>
  <c r="K108" i="16"/>
  <c r="J108" i="16"/>
  <c r="I108" i="16"/>
  <c r="K100" i="16"/>
  <c r="J100" i="16"/>
  <c r="I100" i="16"/>
  <c r="K73" i="16"/>
  <c r="J73" i="16"/>
  <c r="I73" i="16"/>
  <c r="K67" i="16"/>
  <c r="I67" i="16"/>
  <c r="J67" i="16"/>
  <c r="K41" i="16"/>
  <c r="J41" i="16"/>
  <c r="I41" i="16"/>
  <c r="H49" i="16"/>
  <c r="K29" i="16"/>
  <c r="J29" i="16"/>
  <c r="I29" i="16"/>
  <c r="K17" i="16"/>
  <c r="J17" i="16"/>
  <c r="I17" i="16"/>
  <c r="T21" i="17"/>
  <c r="W13" i="17"/>
  <c r="V13" i="17"/>
  <c r="U13" i="17"/>
  <c r="K153" i="16"/>
  <c r="J153" i="16"/>
  <c r="I153" i="16"/>
  <c r="H161" i="16"/>
  <c r="K118" i="16"/>
  <c r="J118" i="16"/>
  <c r="I118" i="16"/>
  <c r="K86" i="16"/>
  <c r="J86" i="16"/>
  <c r="I86" i="16"/>
  <c r="H91" i="16"/>
  <c r="K83" i="16"/>
  <c r="J83" i="16"/>
  <c r="I83" i="16"/>
  <c r="K114" i="16"/>
  <c r="J114" i="16"/>
  <c r="I114" i="16"/>
  <c r="K60" i="16"/>
  <c r="J60" i="16"/>
  <c r="I60" i="16"/>
  <c r="K156" i="16"/>
  <c r="J156" i="16"/>
  <c r="I156" i="16"/>
  <c r="H121" i="16"/>
  <c r="K122" i="16"/>
  <c r="J122" i="16"/>
  <c r="I122" i="16"/>
  <c r="J57" i="16"/>
  <c r="K57" i="16"/>
  <c r="I57" i="16"/>
  <c r="K34" i="16"/>
  <c r="J34" i="16"/>
  <c r="I34" i="16"/>
  <c r="H63" i="16"/>
  <c r="I55" i="16"/>
  <c r="K55" i="16"/>
  <c r="J55" i="16"/>
  <c r="I72" i="16"/>
  <c r="K72" i="16"/>
  <c r="J72" i="16"/>
  <c r="J89" i="16"/>
  <c r="I89" i="16"/>
  <c r="K89" i="16"/>
  <c r="J124" i="16"/>
  <c r="I124" i="16"/>
  <c r="K124" i="16"/>
  <c r="J141" i="16"/>
  <c r="I141" i="16"/>
  <c r="K141" i="16"/>
  <c r="J158" i="16"/>
  <c r="I158" i="16"/>
  <c r="K158" i="16"/>
  <c r="J47" i="16"/>
  <c r="I47" i="16"/>
  <c r="K47" i="16"/>
  <c r="K82" i="16"/>
  <c r="I82" i="16"/>
  <c r="J82" i="16"/>
  <c r="K99" i="16"/>
  <c r="I99" i="16"/>
  <c r="J99" i="16"/>
  <c r="K116" i="16"/>
  <c r="I116" i="16"/>
  <c r="J116" i="16"/>
  <c r="K151" i="16"/>
  <c r="I151" i="16"/>
  <c r="J151" i="16"/>
  <c r="K109" i="16"/>
  <c r="J109" i="16"/>
  <c r="I109" i="16"/>
  <c r="K126" i="16"/>
  <c r="J126" i="16"/>
  <c r="I126" i="16"/>
  <c r="K143" i="16"/>
  <c r="J143" i="16"/>
  <c r="I143" i="16"/>
  <c r="K160" i="16"/>
  <c r="J160" i="16"/>
  <c r="I160" i="16"/>
  <c r="K59" i="16"/>
  <c r="J59" i="16"/>
  <c r="I59" i="16"/>
  <c r="K76" i="16"/>
  <c r="J76" i="16"/>
  <c r="I76" i="16"/>
  <c r="K94" i="16"/>
  <c r="J94" i="16"/>
  <c r="I94" i="16"/>
  <c r="H93" i="16"/>
  <c r="K111" i="16"/>
  <c r="J111" i="16"/>
  <c r="I111" i="16"/>
  <c r="H119" i="16"/>
  <c r="K128" i="16"/>
  <c r="J128" i="16"/>
  <c r="I128" i="16"/>
  <c r="K145" i="16"/>
  <c r="J145" i="16"/>
  <c r="I145" i="16"/>
  <c r="K103" i="16"/>
  <c r="J103" i="16"/>
  <c r="I103" i="16"/>
  <c r="K138" i="16"/>
  <c r="J138" i="16"/>
  <c r="I138" i="16"/>
  <c r="K155" i="16"/>
  <c r="J155" i="16"/>
  <c r="I155" i="16"/>
  <c r="J44" i="16"/>
  <c r="K44" i="16"/>
  <c r="I44" i="16"/>
  <c r="J61" i="16"/>
  <c r="I61" i="16"/>
  <c r="K61" i="16"/>
  <c r="J96" i="16"/>
  <c r="I96" i="16"/>
  <c r="K96" i="16"/>
  <c r="J113" i="16"/>
  <c r="I113" i="16"/>
  <c r="K113" i="16"/>
  <c r="J130" i="16"/>
  <c r="I130" i="16"/>
  <c r="K130" i="16"/>
  <c r="I54" i="16"/>
  <c r="K54" i="16"/>
  <c r="J54" i="16"/>
  <c r="I71" i="16"/>
  <c r="K71" i="16"/>
  <c r="J71" i="16"/>
  <c r="I88" i="16"/>
  <c r="K88" i="16"/>
  <c r="J88" i="16"/>
  <c r="I123" i="16"/>
  <c r="K123" i="16"/>
  <c r="J123" i="16"/>
  <c r="I140" i="16"/>
  <c r="K140" i="16"/>
  <c r="J140" i="16"/>
  <c r="I157" i="16"/>
  <c r="K157" i="16"/>
  <c r="J157" i="16"/>
  <c r="K46" i="16"/>
  <c r="J46" i="16"/>
  <c r="I46" i="16"/>
  <c r="K81" i="16"/>
  <c r="J81" i="16"/>
  <c r="I81" i="16"/>
  <c r="K98" i="16"/>
  <c r="J98" i="16"/>
  <c r="I98" i="16"/>
  <c r="K115" i="16"/>
  <c r="J115" i="16"/>
  <c r="I115" i="16"/>
  <c r="K132" i="16"/>
  <c r="J132" i="16"/>
  <c r="I132" i="16"/>
  <c r="K150" i="16"/>
  <c r="J150" i="16"/>
  <c r="I150" i="16"/>
  <c r="H149" i="16"/>
  <c r="K75" i="16"/>
  <c r="J75" i="16"/>
  <c r="I75" i="16"/>
  <c r="J45" i="16"/>
  <c r="I45" i="16"/>
  <c r="K45" i="16"/>
  <c r="I25" i="16"/>
  <c r="K25" i="16"/>
  <c r="J25" i="16"/>
  <c r="I15" i="16"/>
  <c r="K15" i="16"/>
  <c r="J15" i="16"/>
  <c r="Y20" i="15"/>
  <c r="X20" i="15"/>
  <c r="W20" i="15"/>
  <c r="Y16" i="15"/>
  <c r="X16" i="15"/>
  <c r="W16" i="15"/>
  <c r="Y12" i="15"/>
  <c r="X12" i="15"/>
  <c r="W12" i="15"/>
  <c r="Y19" i="15"/>
  <c r="W19" i="15"/>
  <c r="X19" i="15"/>
  <c r="Y15" i="15"/>
  <c r="W15" i="15"/>
  <c r="X15" i="15"/>
  <c r="Y18" i="15"/>
  <c r="X18" i="15"/>
  <c r="W18" i="15"/>
  <c r="H91" i="15"/>
  <c r="M83" i="15"/>
  <c r="L83" i="15"/>
  <c r="K83" i="15"/>
  <c r="J83" i="15"/>
  <c r="I83" i="15"/>
  <c r="M12" i="15"/>
  <c r="L12" i="15"/>
  <c r="K12" i="15"/>
  <c r="J12" i="15"/>
  <c r="I12" i="15"/>
  <c r="M45" i="15"/>
  <c r="L45" i="15"/>
  <c r="K45" i="15"/>
  <c r="J45" i="15"/>
  <c r="I45" i="15"/>
  <c r="M16" i="15"/>
  <c r="L16" i="15"/>
  <c r="K16" i="15"/>
  <c r="J16" i="15"/>
  <c r="I16" i="15"/>
  <c r="M100" i="15"/>
  <c r="L100" i="15"/>
  <c r="K100" i="15"/>
  <c r="J100" i="15"/>
  <c r="I100" i="15"/>
  <c r="M31" i="15"/>
  <c r="L31" i="15"/>
  <c r="K31" i="15"/>
  <c r="J31" i="15"/>
  <c r="I31" i="15"/>
  <c r="M20" i="15"/>
  <c r="L20" i="15"/>
  <c r="K20" i="15"/>
  <c r="J20" i="15"/>
  <c r="I20" i="15"/>
  <c r="M80" i="15"/>
  <c r="L80" i="15"/>
  <c r="K80" i="15"/>
  <c r="J80" i="15"/>
  <c r="I80" i="15"/>
  <c r="M66" i="15"/>
  <c r="L66" i="15"/>
  <c r="K66" i="15"/>
  <c r="J66" i="15"/>
  <c r="I66" i="15"/>
  <c r="M28" i="15"/>
  <c r="L28" i="15"/>
  <c r="K28" i="15"/>
  <c r="J28" i="15"/>
  <c r="I28" i="15"/>
  <c r="M97" i="15"/>
  <c r="L97" i="15"/>
  <c r="K97" i="15"/>
  <c r="H105" i="15"/>
  <c r="J97" i="15"/>
  <c r="I97" i="15"/>
  <c r="M116" i="15"/>
  <c r="L116" i="15"/>
  <c r="K116" i="15"/>
  <c r="J116" i="15"/>
  <c r="I116" i="15"/>
  <c r="M137" i="15"/>
  <c r="L137" i="15"/>
  <c r="K137" i="15"/>
  <c r="J137" i="15"/>
  <c r="I137" i="15"/>
  <c r="M151" i="15"/>
  <c r="L151" i="15"/>
  <c r="K151" i="15"/>
  <c r="J151" i="15"/>
  <c r="I151" i="15"/>
  <c r="I156" i="15"/>
  <c r="K156" i="15"/>
  <c r="M156" i="15"/>
  <c r="L156" i="15"/>
  <c r="J156" i="15"/>
  <c r="M34" i="15"/>
  <c r="L34" i="15"/>
  <c r="K34" i="15"/>
  <c r="J34" i="15"/>
  <c r="I34" i="15"/>
  <c r="M52" i="15"/>
  <c r="L52" i="15"/>
  <c r="K52" i="15"/>
  <c r="J52" i="15"/>
  <c r="I52" i="15"/>
  <c r="H77" i="15"/>
  <c r="M69" i="15"/>
  <c r="L69" i="15"/>
  <c r="K69" i="15"/>
  <c r="J69" i="15"/>
  <c r="I69" i="15"/>
  <c r="M86" i="15"/>
  <c r="L86" i="15"/>
  <c r="K86" i="15"/>
  <c r="J86" i="15"/>
  <c r="I86" i="15"/>
  <c r="J108" i="15"/>
  <c r="M108" i="15"/>
  <c r="L108" i="15"/>
  <c r="K108" i="15"/>
  <c r="I108" i="15"/>
  <c r="M110" i="15"/>
  <c r="L110" i="15"/>
  <c r="K110" i="15"/>
  <c r="J110" i="15"/>
  <c r="I110" i="15"/>
  <c r="I128" i="15"/>
  <c r="M128" i="15"/>
  <c r="L128" i="15"/>
  <c r="K128" i="15"/>
  <c r="J128" i="15"/>
  <c r="M130" i="15"/>
  <c r="L130" i="15"/>
  <c r="K130" i="15"/>
  <c r="J130" i="15"/>
  <c r="I130" i="15"/>
  <c r="M38" i="15"/>
  <c r="L38" i="15"/>
  <c r="K38" i="15"/>
  <c r="J38" i="15"/>
  <c r="I38" i="15"/>
  <c r="H63" i="15"/>
  <c r="M55" i="15"/>
  <c r="L55" i="15"/>
  <c r="K55" i="15"/>
  <c r="J55" i="15"/>
  <c r="I55" i="15"/>
  <c r="M72" i="15"/>
  <c r="L72" i="15"/>
  <c r="K72" i="15"/>
  <c r="J72" i="15"/>
  <c r="I72" i="15"/>
  <c r="M89" i="15"/>
  <c r="L89" i="15"/>
  <c r="K89" i="15"/>
  <c r="J89" i="15"/>
  <c r="I89" i="15"/>
  <c r="M24" i="15"/>
  <c r="L24" i="15"/>
  <c r="K24" i="15"/>
  <c r="J24" i="15"/>
  <c r="I24" i="15"/>
  <c r="H49" i="15"/>
  <c r="M41" i="15"/>
  <c r="L41" i="15"/>
  <c r="K41" i="15"/>
  <c r="J41" i="15"/>
  <c r="I41" i="15"/>
  <c r="M58" i="15"/>
  <c r="L58" i="15"/>
  <c r="K58" i="15"/>
  <c r="J58" i="15"/>
  <c r="I58" i="15"/>
  <c r="M75" i="15"/>
  <c r="L75" i="15"/>
  <c r="K75" i="15"/>
  <c r="J75" i="15"/>
  <c r="I75" i="15"/>
  <c r="M93" i="15"/>
  <c r="L93" i="15"/>
  <c r="K93" i="15"/>
  <c r="J93" i="15"/>
  <c r="I93" i="15"/>
  <c r="M124" i="15"/>
  <c r="L124" i="15"/>
  <c r="K124" i="15"/>
  <c r="J124" i="15"/>
  <c r="I124" i="15"/>
  <c r="M144" i="15"/>
  <c r="L144" i="15"/>
  <c r="K144" i="15"/>
  <c r="J144" i="15"/>
  <c r="I144" i="15"/>
  <c r="M154" i="15"/>
  <c r="L154" i="15"/>
  <c r="K154" i="15"/>
  <c r="J154" i="15"/>
  <c r="I154" i="15"/>
  <c r="L9" i="15"/>
  <c r="K9" i="15"/>
  <c r="J9" i="15"/>
  <c r="I9" i="15"/>
  <c r="M9" i="15"/>
  <c r="L13" i="15"/>
  <c r="K13" i="15"/>
  <c r="J13" i="15"/>
  <c r="I13" i="15"/>
  <c r="H21" i="15"/>
  <c r="M13" i="15"/>
  <c r="L17" i="15"/>
  <c r="K17" i="15"/>
  <c r="J17" i="15"/>
  <c r="I17" i="15"/>
  <c r="M17" i="15"/>
  <c r="H35" i="15"/>
  <c r="M27" i="15"/>
  <c r="L27" i="15"/>
  <c r="K27" i="15"/>
  <c r="J27" i="15"/>
  <c r="I27" i="15"/>
  <c r="M44" i="15"/>
  <c r="L44" i="15"/>
  <c r="K44" i="15"/>
  <c r="J44" i="15"/>
  <c r="I44" i="15"/>
  <c r="M61" i="15"/>
  <c r="L61" i="15"/>
  <c r="K61" i="15"/>
  <c r="J61" i="15"/>
  <c r="I61" i="15"/>
  <c r="M79" i="15"/>
  <c r="L79" i="15"/>
  <c r="K79" i="15"/>
  <c r="J79" i="15"/>
  <c r="I79" i="15"/>
  <c r="M96" i="15"/>
  <c r="L96" i="15"/>
  <c r="K96" i="15"/>
  <c r="J96" i="15"/>
  <c r="I96" i="15"/>
  <c r="I122" i="15"/>
  <c r="K122" i="15"/>
  <c r="M122" i="15"/>
  <c r="L122" i="15"/>
  <c r="J122" i="15"/>
  <c r="M126" i="15"/>
  <c r="K126" i="15"/>
  <c r="J126" i="15"/>
  <c r="I126" i="15"/>
  <c r="L126" i="15"/>
  <c r="M30" i="15"/>
  <c r="L30" i="15"/>
  <c r="K30" i="15"/>
  <c r="J30" i="15"/>
  <c r="I30" i="15"/>
  <c r="M47" i="15"/>
  <c r="L47" i="15"/>
  <c r="K47" i="15"/>
  <c r="J47" i="15"/>
  <c r="I47" i="15"/>
  <c r="M65" i="15"/>
  <c r="L65" i="15"/>
  <c r="K65" i="15"/>
  <c r="J65" i="15"/>
  <c r="I65" i="15"/>
  <c r="M82" i="15"/>
  <c r="L82" i="15"/>
  <c r="K82" i="15"/>
  <c r="J82" i="15"/>
  <c r="I82" i="15"/>
  <c r="M99" i="15"/>
  <c r="L99" i="15"/>
  <c r="K99" i="15"/>
  <c r="J99" i="15"/>
  <c r="I99" i="15"/>
  <c r="L102" i="15"/>
  <c r="M102" i="15"/>
  <c r="K102" i="15"/>
  <c r="J102" i="15"/>
  <c r="I102" i="15"/>
  <c r="M117" i="15"/>
  <c r="L117" i="15"/>
  <c r="K117" i="15"/>
  <c r="J117" i="15"/>
  <c r="I117" i="15"/>
  <c r="M138" i="15"/>
  <c r="L138" i="15"/>
  <c r="K138" i="15"/>
  <c r="J138" i="15"/>
  <c r="I138" i="15"/>
  <c r="K152" i="15"/>
  <c r="M152" i="15"/>
  <c r="L152" i="15"/>
  <c r="J152" i="15"/>
  <c r="I152" i="15"/>
  <c r="M33" i="15"/>
  <c r="L33" i="15"/>
  <c r="K33" i="15"/>
  <c r="J33" i="15"/>
  <c r="I33" i="15"/>
  <c r="M51" i="15"/>
  <c r="L51" i="15"/>
  <c r="K51" i="15"/>
  <c r="J51" i="15"/>
  <c r="I51" i="15"/>
  <c r="M68" i="15"/>
  <c r="L68" i="15"/>
  <c r="K68" i="15"/>
  <c r="J68" i="15"/>
  <c r="I68" i="15"/>
  <c r="M85" i="15"/>
  <c r="L85" i="15"/>
  <c r="K85" i="15"/>
  <c r="J85" i="15"/>
  <c r="I85" i="15"/>
  <c r="L140" i="15"/>
  <c r="K140" i="15"/>
  <c r="J140" i="15"/>
  <c r="M140" i="15"/>
  <c r="I140" i="15"/>
  <c r="L157" i="15"/>
  <c r="K157" i="15"/>
  <c r="J157" i="15"/>
  <c r="M157" i="15"/>
  <c r="I157" i="15"/>
  <c r="M37" i="15"/>
  <c r="L37" i="15"/>
  <c r="K37" i="15"/>
  <c r="J37" i="15"/>
  <c r="I37" i="15"/>
  <c r="M54" i="15"/>
  <c r="L54" i="15"/>
  <c r="K54" i="15"/>
  <c r="J54" i="15"/>
  <c r="I54" i="15"/>
  <c r="M71" i="15"/>
  <c r="L71" i="15"/>
  <c r="K71" i="15"/>
  <c r="J71" i="15"/>
  <c r="I71" i="15"/>
  <c r="M88" i="15"/>
  <c r="L88" i="15"/>
  <c r="K88" i="15"/>
  <c r="J88" i="15"/>
  <c r="I88" i="15"/>
  <c r="K104" i="15"/>
  <c r="M104" i="15"/>
  <c r="L104" i="15"/>
  <c r="J104" i="15"/>
  <c r="I104" i="15"/>
  <c r="M10" i="15"/>
  <c r="L10" i="15"/>
  <c r="K10" i="15"/>
  <c r="J10" i="15"/>
  <c r="I10" i="15"/>
  <c r="M14" i="15"/>
  <c r="L14" i="15"/>
  <c r="K14" i="15"/>
  <c r="J14" i="15"/>
  <c r="I14" i="15"/>
  <c r="M18" i="15"/>
  <c r="L18" i="15"/>
  <c r="K18" i="15"/>
  <c r="J18" i="15"/>
  <c r="I18" i="15"/>
  <c r="M23" i="15"/>
  <c r="L23" i="15"/>
  <c r="K23" i="15"/>
  <c r="J23" i="15"/>
  <c r="I23" i="15"/>
  <c r="M40" i="15"/>
  <c r="L40" i="15"/>
  <c r="K40" i="15"/>
  <c r="J40" i="15"/>
  <c r="I40" i="15"/>
  <c r="M57" i="15"/>
  <c r="L57" i="15"/>
  <c r="K57" i="15"/>
  <c r="J57" i="15"/>
  <c r="I57" i="15"/>
  <c r="M74" i="15"/>
  <c r="L74" i="15"/>
  <c r="K74" i="15"/>
  <c r="J74" i="15"/>
  <c r="I74" i="15"/>
  <c r="I111" i="15"/>
  <c r="M111" i="15"/>
  <c r="L111" i="15"/>
  <c r="K111" i="15"/>
  <c r="J111" i="15"/>
  <c r="H119" i="15"/>
  <c r="M113" i="15"/>
  <c r="L113" i="15"/>
  <c r="K113" i="15"/>
  <c r="J113" i="15"/>
  <c r="I113" i="15"/>
  <c r="M26" i="15"/>
  <c r="L26" i="15"/>
  <c r="K26" i="15"/>
  <c r="J26" i="15"/>
  <c r="I26" i="15"/>
  <c r="M43" i="15"/>
  <c r="L43" i="15"/>
  <c r="K43" i="15"/>
  <c r="J43" i="15"/>
  <c r="I43" i="15"/>
  <c r="M60" i="15"/>
  <c r="L60" i="15"/>
  <c r="K60" i="15"/>
  <c r="J60" i="15"/>
  <c r="I60" i="15"/>
  <c r="M95" i="15"/>
  <c r="L95" i="15"/>
  <c r="K95" i="15"/>
  <c r="J95" i="15"/>
  <c r="I95" i="15"/>
  <c r="M107" i="15"/>
  <c r="L107" i="15"/>
  <c r="K107" i="15"/>
  <c r="J107" i="15"/>
  <c r="I107" i="15"/>
  <c r="L155" i="15"/>
  <c r="J155" i="15"/>
  <c r="M155" i="15"/>
  <c r="K155" i="15"/>
  <c r="I155" i="15"/>
  <c r="M160" i="15"/>
  <c r="K160" i="15"/>
  <c r="J160" i="15"/>
  <c r="I160" i="15"/>
  <c r="L160" i="15"/>
  <c r="L29" i="15"/>
  <c r="K29" i="15"/>
  <c r="J29" i="15"/>
  <c r="I29" i="15"/>
  <c r="M29" i="15"/>
  <c r="L46" i="15"/>
  <c r="K46" i="15"/>
  <c r="J46" i="15"/>
  <c r="I46" i="15"/>
  <c r="M46" i="15"/>
  <c r="L81" i="15"/>
  <c r="K81" i="15"/>
  <c r="J81" i="15"/>
  <c r="I81" i="15"/>
  <c r="M81" i="15"/>
  <c r="L98" i="15"/>
  <c r="K98" i="15"/>
  <c r="J98" i="15"/>
  <c r="I98" i="15"/>
  <c r="M98" i="15"/>
  <c r="L101" i="15"/>
  <c r="K101" i="15"/>
  <c r="J101" i="15"/>
  <c r="I101" i="15"/>
  <c r="M101" i="15"/>
  <c r="L127" i="15"/>
  <c r="K127" i="15"/>
  <c r="J127" i="15"/>
  <c r="I127" i="15"/>
  <c r="M127" i="15"/>
  <c r="I145" i="15"/>
  <c r="M145" i="15"/>
  <c r="L145" i="15"/>
  <c r="K145" i="15"/>
  <c r="J145" i="15"/>
  <c r="K32" i="15"/>
  <c r="J32" i="15"/>
  <c r="I32" i="15"/>
  <c r="M32" i="15"/>
  <c r="L32" i="15"/>
  <c r="K67" i="15"/>
  <c r="J67" i="15"/>
  <c r="I67" i="15"/>
  <c r="M67" i="15"/>
  <c r="L67" i="15"/>
  <c r="K84" i="15"/>
  <c r="J84" i="15"/>
  <c r="I84" i="15"/>
  <c r="M84" i="15"/>
  <c r="L84" i="15"/>
  <c r="M109" i="15"/>
  <c r="K109" i="15"/>
  <c r="J109" i="15"/>
  <c r="I109" i="15"/>
  <c r="L109" i="15"/>
  <c r="J11" i="15"/>
  <c r="I11" i="15"/>
  <c r="M11" i="15"/>
  <c r="L11" i="15"/>
  <c r="K11" i="15"/>
  <c r="J15" i="15"/>
  <c r="I15" i="15"/>
  <c r="M15" i="15"/>
  <c r="L15" i="15"/>
  <c r="K15" i="15"/>
  <c r="J19" i="15"/>
  <c r="I19" i="15"/>
  <c r="M19" i="15"/>
  <c r="L19" i="15"/>
  <c r="K19" i="15"/>
  <c r="J53" i="15"/>
  <c r="I53" i="15"/>
  <c r="M53" i="15"/>
  <c r="L53" i="15"/>
  <c r="K53" i="15"/>
  <c r="J70" i="15"/>
  <c r="I70" i="15"/>
  <c r="M70" i="15"/>
  <c r="L70" i="15"/>
  <c r="K70" i="15"/>
  <c r="J87" i="15"/>
  <c r="I87" i="15"/>
  <c r="M87" i="15"/>
  <c r="L87" i="15"/>
  <c r="K87" i="15"/>
  <c r="J121" i="15"/>
  <c r="I121" i="15"/>
  <c r="M121" i="15"/>
  <c r="K121" i="15"/>
  <c r="L121" i="15"/>
  <c r="J141" i="15"/>
  <c r="I141" i="15"/>
  <c r="M141" i="15"/>
  <c r="K141" i="15"/>
  <c r="L141" i="15"/>
  <c r="K158" i="15"/>
  <c r="I158" i="15"/>
  <c r="L158" i="15"/>
  <c r="J158" i="15"/>
  <c r="M158" i="15"/>
  <c r="I39" i="15"/>
  <c r="M39" i="15"/>
  <c r="L39" i="15"/>
  <c r="K39" i="15"/>
  <c r="J39" i="15"/>
  <c r="I56" i="15"/>
  <c r="M56" i="15"/>
  <c r="L56" i="15"/>
  <c r="K56" i="15"/>
  <c r="J56" i="15"/>
  <c r="I73" i="15"/>
  <c r="M73" i="15"/>
  <c r="L73" i="15"/>
  <c r="J73" i="15"/>
  <c r="K73" i="15"/>
  <c r="I90" i="15"/>
  <c r="M90" i="15"/>
  <c r="L90" i="15"/>
  <c r="J90" i="15"/>
  <c r="K90" i="15"/>
  <c r="L123" i="15"/>
  <c r="K123" i="15"/>
  <c r="J123" i="15"/>
  <c r="I123" i="15"/>
  <c r="M123" i="15"/>
  <c r="I139" i="15"/>
  <c r="K139" i="15"/>
  <c r="J139" i="15"/>
  <c r="H147" i="15"/>
  <c r="L139" i="15"/>
  <c r="M139" i="15"/>
  <c r="M143" i="15"/>
  <c r="K143" i="15"/>
  <c r="J143" i="15"/>
  <c r="I143" i="15"/>
  <c r="L143" i="15"/>
  <c r="M25" i="15"/>
  <c r="L25" i="15"/>
  <c r="K25" i="15"/>
  <c r="J25" i="15"/>
  <c r="I25" i="15"/>
  <c r="M42" i="15"/>
  <c r="L42" i="15"/>
  <c r="K42" i="15"/>
  <c r="J42" i="15"/>
  <c r="I42" i="15"/>
  <c r="M59" i="15"/>
  <c r="L59" i="15"/>
  <c r="K59" i="15"/>
  <c r="J59" i="15"/>
  <c r="I59" i="15"/>
  <c r="M76" i="15"/>
  <c r="L76" i="15"/>
  <c r="K76" i="15"/>
  <c r="J76" i="15"/>
  <c r="I76" i="15"/>
  <c r="M94" i="15"/>
  <c r="L94" i="15"/>
  <c r="K94" i="15"/>
  <c r="I94" i="15"/>
  <c r="J94" i="15"/>
  <c r="M103" i="15"/>
  <c r="L103" i="15"/>
  <c r="K103" i="15"/>
  <c r="I103" i="15"/>
  <c r="J103" i="15"/>
  <c r="M135" i="15"/>
  <c r="L135" i="15"/>
  <c r="K135" i="15"/>
  <c r="I135" i="15"/>
  <c r="J135" i="15"/>
  <c r="M114" i="15"/>
  <c r="L114" i="15"/>
  <c r="K114" i="15"/>
  <c r="I114" i="15"/>
  <c r="J114" i="15"/>
  <c r="M131" i="15"/>
  <c r="L131" i="15"/>
  <c r="K131" i="15"/>
  <c r="J131" i="15"/>
  <c r="I131" i="15"/>
  <c r="L149" i="15"/>
  <c r="M149" i="15"/>
  <c r="K149" i="15"/>
  <c r="J149" i="15"/>
  <c r="I149" i="15"/>
  <c r="L112" i="15"/>
  <c r="J112" i="15"/>
  <c r="I112" i="15"/>
  <c r="M112" i="15"/>
  <c r="K112" i="15"/>
  <c r="L129" i="15"/>
  <c r="J129" i="15"/>
  <c r="I129" i="15"/>
  <c r="M129" i="15"/>
  <c r="K129" i="15"/>
  <c r="L146" i="15"/>
  <c r="J146" i="15"/>
  <c r="I146" i="15"/>
  <c r="M146" i="15"/>
  <c r="K146" i="15"/>
  <c r="K115" i="15"/>
  <c r="I115" i="15"/>
  <c r="M115" i="15"/>
  <c r="L115" i="15"/>
  <c r="J115" i="15"/>
  <c r="K132" i="15"/>
  <c r="I132" i="15"/>
  <c r="M132" i="15"/>
  <c r="L132" i="15"/>
  <c r="J132" i="15"/>
  <c r="K150" i="15"/>
  <c r="I150" i="15"/>
  <c r="M150" i="15"/>
  <c r="L150" i="15"/>
  <c r="J150" i="15"/>
  <c r="J118" i="15"/>
  <c r="L118" i="15"/>
  <c r="I118" i="15"/>
  <c r="K118" i="15"/>
  <c r="M118" i="15"/>
  <c r="J136" i="15"/>
  <c r="L136" i="15"/>
  <c r="M136" i="15"/>
  <c r="K136" i="15"/>
  <c r="I136" i="15"/>
  <c r="J153" i="15"/>
  <c r="H161" i="15"/>
  <c r="L153" i="15"/>
  <c r="K153" i="15"/>
  <c r="I153" i="15"/>
  <c r="M153" i="15"/>
  <c r="J125" i="15"/>
  <c r="M125" i="15"/>
  <c r="L125" i="15"/>
  <c r="K125" i="15"/>
  <c r="I125" i="15"/>
  <c r="H133" i="15"/>
  <c r="J142" i="15"/>
  <c r="M142" i="15"/>
  <c r="L142" i="15"/>
  <c r="K142" i="15"/>
  <c r="I142" i="15"/>
  <c r="J159" i="15"/>
  <c r="M159" i="15"/>
  <c r="L159" i="15"/>
  <c r="K159" i="15"/>
  <c r="I159" i="15"/>
  <c r="M48" i="15"/>
  <c r="L48" i="15"/>
  <c r="K48" i="15"/>
  <c r="J48" i="15"/>
  <c r="I48" i="15"/>
  <c r="J103" i="13"/>
  <c r="I103" i="13"/>
  <c r="K103" i="13"/>
  <c r="K94" i="13"/>
  <c r="J94" i="13"/>
  <c r="I94" i="13"/>
  <c r="J86" i="13"/>
  <c r="I86" i="13"/>
  <c r="K86" i="13"/>
  <c r="J56" i="13"/>
  <c r="I56" i="13"/>
  <c r="K56" i="13"/>
  <c r="K42" i="13"/>
  <c r="J42" i="13"/>
  <c r="I42" i="13"/>
  <c r="V48" i="12"/>
  <c r="S48" i="12"/>
  <c r="T48" i="12"/>
  <c r="V44" i="12"/>
  <c r="S44" i="12"/>
  <c r="T44" i="12"/>
  <c r="V40" i="12"/>
  <c r="S40" i="12"/>
  <c r="T40" i="12"/>
  <c r="V36" i="12"/>
  <c r="S36" i="12"/>
  <c r="T36" i="12"/>
  <c r="V32" i="12"/>
  <c r="S32" i="12"/>
  <c r="T32" i="12"/>
  <c r="V28" i="12"/>
  <c r="S28" i="12"/>
  <c r="T28" i="12"/>
  <c r="V24" i="12"/>
  <c r="S24" i="12"/>
  <c r="T24" i="12"/>
  <c r="V20" i="12"/>
  <c r="S20" i="12"/>
  <c r="T20" i="12"/>
  <c r="V16" i="12"/>
  <c r="S16" i="12"/>
  <c r="T16" i="12"/>
  <c r="J144" i="13"/>
  <c r="I144" i="13"/>
  <c r="K144" i="13"/>
  <c r="I47" i="13"/>
  <c r="J47" i="13"/>
  <c r="K47" i="13"/>
  <c r="J39" i="13"/>
  <c r="I39" i="13"/>
  <c r="K39" i="13"/>
  <c r="K33" i="13"/>
  <c r="J33" i="13"/>
  <c r="I33" i="13"/>
  <c r="S9" i="12"/>
  <c r="T9" i="12"/>
  <c r="V9" i="12"/>
  <c r="K67" i="13"/>
  <c r="J67" i="13"/>
  <c r="I67" i="13"/>
  <c r="T57" i="12"/>
  <c r="S57" i="12"/>
  <c r="V57" i="12"/>
  <c r="J46" i="12"/>
  <c r="I46" i="12"/>
  <c r="K46" i="12"/>
  <c r="L46" i="12"/>
  <c r="J42" i="12"/>
  <c r="I42" i="12"/>
  <c r="K42" i="12"/>
  <c r="L42" i="12"/>
  <c r="J38" i="12"/>
  <c r="I38" i="12"/>
  <c r="K38" i="12"/>
  <c r="L38" i="12"/>
  <c r="J34" i="12"/>
  <c r="I34" i="12"/>
  <c r="K34" i="12"/>
  <c r="L34" i="12"/>
  <c r="J30" i="12"/>
  <c r="I30" i="12"/>
  <c r="K30" i="12"/>
  <c r="L30" i="12"/>
  <c r="J26" i="12"/>
  <c r="I26" i="12"/>
  <c r="K26" i="12"/>
  <c r="L26" i="12"/>
  <c r="J22" i="12"/>
  <c r="I22" i="12"/>
  <c r="K22" i="12"/>
  <c r="L22" i="12"/>
  <c r="J18" i="12"/>
  <c r="I18" i="12"/>
  <c r="K18" i="12"/>
  <c r="L18" i="12"/>
  <c r="J11" i="12"/>
  <c r="I11" i="12"/>
  <c r="K11" i="12"/>
  <c r="L11" i="12"/>
  <c r="I82" i="13"/>
  <c r="H90" i="13"/>
  <c r="K82" i="13"/>
  <c r="J82" i="13"/>
  <c r="K59" i="13"/>
  <c r="J59" i="13"/>
  <c r="I59" i="13"/>
  <c r="K44" i="13"/>
  <c r="J44" i="13"/>
  <c r="I44" i="13"/>
  <c r="K25" i="13"/>
  <c r="J25" i="13"/>
  <c r="I25" i="13"/>
  <c r="K10" i="13"/>
  <c r="J10" i="13"/>
  <c r="I10" i="13"/>
  <c r="I9" i="13"/>
  <c r="K9" i="13"/>
  <c r="J9" i="13"/>
  <c r="K14" i="12"/>
  <c r="J14" i="12"/>
  <c r="I14" i="12"/>
  <c r="L14" i="12"/>
  <c r="T12" i="12"/>
  <c r="S12" i="12"/>
  <c r="V12" i="12"/>
  <c r="K7" i="12"/>
  <c r="J7" i="12"/>
  <c r="I7" i="12"/>
  <c r="H54" i="12"/>
  <c r="L7" i="12"/>
  <c r="K153" i="13"/>
  <c r="J153" i="13"/>
  <c r="I153" i="13"/>
  <c r="K85" i="13"/>
  <c r="J85" i="13"/>
  <c r="I85" i="13"/>
  <c r="I30" i="13"/>
  <c r="K30" i="13"/>
  <c r="J30" i="13"/>
  <c r="J22" i="13"/>
  <c r="I22" i="13"/>
  <c r="K22" i="13"/>
  <c r="W18" i="13"/>
  <c r="V18" i="13"/>
  <c r="U18" i="13"/>
  <c r="K11" i="13"/>
  <c r="J11" i="13"/>
  <c r="I11" i="13"/>
  <c r="K8" i="13"/>
  <c r="J8" i="13"/>
  <c r="I8" i="13"/>
  <c r="V51" i="12"/>
  <c r="T51" i="12"/>
  <c r="S51" i="12"/>
  <c r="V47" i="12"/>
  <c r="T47" i="12"/>
  <c r="S47" i="12"/>
  <c r="V43" i="12"/>
  <c r="T43" i="12"/>
  <c r="S43" i="12"/>
  <c r="V39" i="12"/>
  <c r="T39" i="12"/>
  <c r="S39" i="12"/>
  <c r="V35" i="12"/>
  <c r="T35" i="12"/>
  <c r="S35" i="12"/>
  <c r="V31" i="12"/>
  <c r="T31" i="12"/>
  <c r="S31" i="12"/>
  <c r="V27" i="12"/>
  <c r="T27" i="12"/>
  <c r="S27" i="12"/>
  <c r="V23" i="12"/>
  <c r="T23" i="12"/>
  <c r="S23" i="12"/>
  <c r="V19" i="12"/>
  <c r="T19" i="12"/>
  <c r="S19" i="12"/>
  <c r="V15" i="12"/>
  <c r="T15" i="12"/>
  <c r="S15" i="12"/>
  <c r="K142" i="13"/>
  <c r="J142" i="13"/>
  <c r="I142" i="13"/>
  <c r="J121" i="13"/>
  <c r="I121" i="13"/>
  <c r="K121" i="13"/>
  <c r="K111" i="13"/>
  <c r="J111" i="13"/>
  <c r="I111" i="13"/>
  <c r="J73" i="13"/>
  <c r="I73" i="13"/>
  <c r="K73" i="13"/>
  <c r="K50" i="13"/>
  <c r="J50" i="13"/>
  <c r="I50" i="13"/>
  <c r="K12" i="13"/>
  <c r="H20" i="13"/>
  <c r="J12" i="13"/>
  <c r="I12" i="13"/>
  <c r="V56" i="12"/>
  <c r="T56" i="12"/>
  <c r="S56" i="12"/>
  <c r="V8" i="12"/>
  <c r="T8" i="12"/>
  <c r="S8" i="12"/>
  <c r="K81" i="13"/>
  <c r="J81" i="13"/>
  <c r="I81" i="13"/>
  <c r="K46" i="13"/>
  <c r="J46" i="13"/>
  <c r="I46" i="13"/>
  <c r="K27" i="13"/>
  <c r="J27" i="13"/>
  <c r="I27" i="13"/>
  <c r="W14" i="13"/>
  <c r="V14" i="13"/>
  <c r="U14" i="13"/>
  <c r="L49" i="12"/>
  <c r="K49" i="12"/>
  <c r="J49" i="12"/>
  <c r="I49" i="12"/>
  <c r="L45" i="12"/>
  <c r="K45" i="12"/>
  <c r="J45" i="12"/>
  <c r="I45" i="12"/>
  <c r="L41" i="12"/>
  <c r="K41" i="12"/>
  <c r="J41" i="12"/>
  <c r="I41" i="12"/>
  <c r="L37" i="12"/>
  <c r="K37" i="12"/>
  <c r="J37" i="12"/>
  <c r="I37" i="12"/>
  <c r="L33" i="12"/>
  <c r="K33" i="12"/>
  <c r="J33" i="12"/>
  <c r="I33" i="12"/>
  <c r="L29" i="12"/>
  <c r="K29" i="12"/>
  <c r="J29" i="12"/>
  <c r="I29" i="12"/>
  <c r="L25" i="12"/>
  <c r="K25" i="12"/>
  <c r="J25" i="12"/>
  <c r="I25" i="12"/>
  <c r="L21" i="12"/>
  <c r="K21" i="12"/>
  <c r="J21" i="12"/>
  <c r="I21" i="12"/>
  <c r="L17" i="12"/>
  <c r="K17" i="12"/>
  <c r="J17" i="12"/>
  <c r="I17" i="12"/>
  <c r="I17" i="13"/>
  <c r="K17" i="13"/>
  <c r="J17" i="13"/>
  <c r="J13" i="13"/>
  <c r="I13" i="13"/>
  <c r="K13" i="13"/>
  <c r="K101" i="13"/>
  <c r="J101" i="13"/>
  <c r="I101" i="13"/>
  <c r="K140" i="13"/>
  <c r="J140" i="13"/>
  <c r="I140" i="13"/>
  <c r="I158" i="13"/>
  <c r="K158" i="13"/>
  <c r="J158" i="13"/>
  <c r="K79" i="13"/>
  <c r="J79" i="13"/>
  <c r="I79" i="13"/>
  <c r="H104" i="13"/>
  <c r="K96" i="13"/>
  <c r="I96" i="13"/>
  <c r="J96" i="13"/>
  <c r="K113" i="13"/>
  <c r="I113" i="13"/>
  <c r="J113" i="13"/>
  <c r="K130" i="13"/>
  <c r="I130" i="13"/>
  <c r="J130" i="13"/>
  <c r="K88" i="13"/>
  <c r="J88" i="13"/>
  <c r="I88" i="13"/>
  <c r="K106" i="13"/>
  <c r="J106" i="13"/>
  <c r="I106" i="13"/>
  <c r="K123" i="13"/>
  <c r="J123" i="13"/>
  <c r="I123" i="13"/>
  <c r="J149" i="13"/>
  <c r="K149" i="13"/>
  <c r="I149" i="13"/>
  <c r="K108" i="13"/>
  <c r="J108" i="13"/>
  <c r="I108" i="13"/>
  <c r="K125" i="13"/>
  <c r="J125" i="13"/>
  <c r="I125" i="13"/>
  <c r="K135" i="13"/>
  <c r="J135" i="13"/>
  <c r="I135" i="13"/>
  <c r="K155" i="13"/>
  <c r="J155" i="13"/>
  <c r="I155" i="13"/>
  <c r="I31" i="13"/>
  <c r="K31" i="13"/>
  <c r="J31" i="13"/>
  <c r="K66" i="13"/>
  <c r="I66" i="13"/>
  <c r="J66" i="13"/>
  <c r="K83" i="13"/>
  <c r="I83" i="13"/>
  <c r="J83" i="13"/>
  <c r="K100" i="13"/>
  <c r="J100" i="13"/>
  <c r="I100" i="13"/>
  <c r="K117" i="13"/>
  <c r="J117" i="13"/>
  <c r="I117" i="13"/>
  <c r="K137" i="13"/>
  <c r="J137" i="13"/>
  <c r="I137" i="13"/>
  <c r="K157" i="13"/>
  <c r="J157" i="13"/>
  <c r="I157" i="13"/>
  <c r="K14" i="13"/>
  <c r="J14" i="13"/>
  <c r="I14" i="13"/>
  <c r="K24" i="13"/>
  <c r="J24" i="13"/>
  <c r="I24" i="13"/>
  <c r="K41" i="13"/>
  <c r="J41" i="13"/>
  <c r="I41" i="13"/>
  <c r="K58" i="13"/>
  <c r="J58" i="13"/>
  <c r="I58" i="13"/>
  <c r="K75" i="13"/>
  <c r="J75" i="13"/>
  <c r="I75" i="13"/>
  <c r="K93" i="13"/>
  <c r="J93" i="13"/>
  <c r="I93" i="13"/>
  <c r="K110" i="13"/>
  <c r="J110" i="13"/>
  <c r="I110" i="13"/>
  <c r="H118" i="13"/>
  <c r="K127" i="13"/>
  <c r="J127" i="13"/>
  <c r="I127" i="13"/>
  <c r="K139" i="13"/>
  <c r="J139" i="13"/>
  <c r="I139" i="13"/>
  <c r="K159" i="13"/>
  <c r="J159" i="13"/>
  <c r="I159" i="13"/>
  <c r="K102" i="13"/>
  <c r="J102" i="13"/>
  <c r="I102" i="13"/>
  <c r="K120" i="13"/>
  <c r="J120" i="13"/>
  <c r="I120" i="13"/>
  <c r="I141" i="13"/>
  <c r="K141" i="13"/>
  <c r="J141" i="13"/>
  <c r="K143" i="13"/>
  <c r="J143" i="13"/>
  <c r="I143" i="13"/>
  <c r="K60" i="13"/>
  <c r="J60" i="13"/>
  <c r="I60" i="13"/>
  <c r="K78" i="13"/>
  <c r="J78" i="13"/>
  <c r="I78" i="13"/>
  <c r="K95" i="13"/>
  <c r="J95" i="13"/>
  <c r="I95" i="13"/>
  <c r="K112" i="13"/>
  <c r="J112" i="13"/>
  <c r="I112" i="13"/>
  <c r="K129" i="13"/>
  <c r="J129" i="13"/>
  <c r="I129" i="13"/>
  <c r="K145" i="13"/>
  <c r="J145" i="13"/>
  <c r="I145" i="13"/>
  <c r="I36" i="13"/>
  <c r="K36" i="13"/>
  <c r="J36" i="13"/>
  <c r="J53" i="13"/>
  <c r="I53" i="13"/>
  <c r="K53" i="13"/>
  <c r="J70" i="13"/>
  <c r="I70" i="13"/>
  <c r="K70" i="13"/>
  <c r="K87" i="13"/>
  <c r="J87" i="13"/>
  <c r="I87" i="13"/>
  <c r="K122" i="13"/>
  <c r="J122" i="13"/>
  <c r="I122" i="13"/>
  <c r="K148" i="13"/>
  <c r="J148" i="13"/>
  <c r="I148" i="13"/>
  <c r="K16" i="13"/>
  <c r="J16" i="13"/>
  <c r="I16" i="13"/>
  <c r="K28" i="13"/>
  <c r="I28" i="13"/>
  <c r="J28" i="13"/>
  <c r="K45" i="13"/>
  <c r="J45" i="13"/>
  <c r="I45" i="13"/>
  <c r="K80" i="13"/>
  <c r="I80" i="13"/>
  <c r="J80" i="13"/>
  <c r="K97" i="13"/>
  <c r="J97" i="13"/>
  <c r="I97" i="13"/>
  <c r="K114" i="13"/>
  <c r="J114" i="13"/>
  <c r="I114" i="13"/>
  <c r="K131" i="13"/>
  <c r="J131" i="13"/>
  <c r="I131" i="13"/>
  <c r="K150" i="13"/>
  <c r="J150" i="13"/>
  <c r="I150" i="13"/>
  <c r="J55" i="13"/>
  <c r="K55" i="13"/>
  <c r="I55" i="13"/>
  <c r="J72" i="13"/>
  <c r="K72" i="13"/>
  <c r="I72" i="13"/>
  <c r="J89" i="13"/>
  <c r="I89" i="13"/>
  <c r="K89" i="13"/>
  <c r="J107" i="13"/>
  <c r="I107" i="13"/>
  <c r="K107" i="13"/>
  <c r="J124" i="13"/>
  <c r="I124" i="13"/>
  <c r="K124" i="13"/>
  <c r="H132" i="13"/>
  <c r="J152" i="13"/>
  <c r="I152" i="13"/>
  <c r="H160" i="13"/>
  <c r="K152" i="13"/>
  <c r="I99" i="13"/>
  <c r="J99" i="13"/>
  <c r="K99" i="13"/>
  <c r="I116" i="13"/>
  <c r="J116" i="13"/>
  <c r="K116" i="13"/>
  <c r="I136" i="13"/>
  <c r="J136" i="13"/>
  <c r="K136" i="13"/>
  <c r="I154" i="13"/>
  <c r="J154" i="13"/>
  <c r="K154" i="13"/>
  <c r="K23" i="13"/>
  <c r="J23" i="13"/>
  <c r="I23" i="13"/>
  <c r="H48" i="13"/>
  <c r="K40" i="13"/>
  <c r="J40" i="13"/>
  <c r="I40" i="13"/>
  <c r="K57" i="13"/>
  <c r="J57" i="13"/>
  <c r="I57" i="13"/>
  <c r="K74" i="13"/>
  <c r="J74" i="13"/>
  <c r="I74" i="13"/>
  <c r="I92" i="13"/>
  <c r="K92" i="13"/>
  <c r="J92" i="13"/>
  <c r="I109" i="13"/>
  <c r="K109" i="13"/>
  <c r="J109" i="13"/>
  <c r="I126" i="13"/>
  <c r="K126" i="13"/>
  <c r="J126" i="13"/>
  <c r="H146" i="13"/>
  <c r="I138" i="13"/>
  <c r="K138" i="13"/>
  <c r="J138" i="13"/>
  <c r="K156" i="13"/>
  <c r="I156" i="13"/>
  <c r="J156" i="13"/>
  <c r="J134" i="13"/>
  <c r="I134" i="13"/>
  <c r="K134" i="13"/>
  <c r="K151" i="13"/>
  <c r="J151" i="13"/>
  <c r="I151" i="13"/>
  <c r="L10" i="12"/>
  <c r="K10" i="12"/>
  <c r="J10" i="12"/>
  <c r="I10" i="12"/>
  <c r="L6" i="12"/>
  <c r="K6" i="12"/>
  <c r="J6" i="12"/>
  <c r="I6" i="12"/>
  <c r="H53" i="12"/>
  <c r="I69" i="13"/>
  <c r="K69" i="13"/>
  <c r="J69" i="13"/>
  <c r="K61" i="13"/>
  <c r="J61" i="13"/>
  <c r="I61" i="13"/>
  <c r="K52" i="13"/>
  <c r="J52" i="13"/>
  <c r="I52" i="13"/>
  <c r="K32" i="13"/>
  <c r="J32" i="13"/>
  <c r="I32" i="13"/>
  <c r="V55" i="12"/>
  <c r="T55" i="12"/>
  <c r="S55" i="12"/>
  <c r="V50" i="12"/>
  <c r="T50" i="12"/>
  <c r="S50" i="12"/>
  <c r="V46" i="12"/>
  <c r="T46" i="12"/>
  <c r="S46" i="12"/>
  <c r="V42" i="12"/>
  <c r="T42" i="12"/>
  <c r="S42" i="12"/>
  <c r="V38" i="12"/>
  <c r="T38" i="12"/>
  <c r="S38" i="12"/>
  <c r="V34" i="12"/>
  <c r="T34" i="12"/>
  <c r="S34" i="12"/>
  <c r="V30" i="12"/>
  <c r="T30" i="12"/>
  <c r="S30" i="12"/>
  <c r="V26" i="12"/>
  <c r="T26" i="12"/>
  <c r="S26" i="12"/>
  <c r="V22" i="12"/>
  <c r="T22" i="12"/>
  <c r="S22" i="12"/>
  <c r="V18" i="12"/>
  <c r="T18" i="12"/>
  <c r="S18" i="12"/>
  <c r="L13" i="12"/>
  <c r="K13" i="12"/>
  <c r="J13" i="12"/>
  <c r="I13" i="12"/>
  <c r="W15" i="13"/>
  <c r="V15" i="13"/>
  <c r="U15" i="13"/>
  <c r="K128" i="13"/>
  <c r="J128" i="13"/>
  <c r="I128" i="13"/>
  <c r="K84" i="13"/>
  <c r="J84" i="13"/>
  <c r="I84" i="13"/>
  <c r="L52" i="12"/>
  <c r="K52" i="12"/>
  <c r="J52" i="12"/>
  <c r="I52" i="12"/>
  <c r="L48" i="12"/>
  <c r="K48" i="12"/>
  <c r="J48" i="12"/>
  <c r="I48" i="12"/>
  <c r="L44" i="12"/>
  <c r="K44" i="12"/>
  <c r="J44" i="12"/>
  <c r="I44" i="12"/>
  <c r="L40" i="12"/>
  <c r="K40" i="12"/>
  <c r="J40" i="12"/>
  <c r="I40" i="12"/>
  <c r="L36" i="12"/>
  <c r="K36" i="12"/>
  <c r="J36" i="12"/>
  <c r="I36" i="12"/>
  <c r="L32" i="12"/>
  <c r="K32" i="12"/>
  <c r="J32" i="12"/>
  <c r="I32" i="12"/>
  <c r="L28" i="12"/>
  <c r="K28" i="12"/>
  <c r="J28" i="12"/>
  <c r="I28" i="12"/>
  <c r="L24" i="12"/>
  <c r="K24" i="12"/>
  <c r="J24" i="12"/>
  <c r="I24" i="12"/>
  <c r="L20" i="12"/>
  <c r="K20" i="12"/>
  <c r="J20" i="12"/>
  <c r="I20" i="12"/>
  <c r="L16" i="12"/>
  <c r="K16" i="12"/>
  <c r="J16" i="12"/>
  <c r="I16" i="12"/>
  <c r="S15" i="14"/>
  <c r="T15" i="14"/>
  <c r="R23" i="14"/>
  <c r="T19" i="14"/>
  <c r="S19" i="14"/>
  <c r="T18" i="14"/>
  <c r="S18" i="14"/>
  <c r="T13" i="14"/>
  <c r="S13" i="14"/>
  <c r="T17" i="14"/>
  <c r="S17" i="14"/>
  <c r="T12" i="14"/>
  <c r="S12" i="14"/>
  <c r="T16" i="14"/>
  <c r="S16" i="14"/>
  <c r="T20" i="14"/>
  <c r="S20" i="14"/>
  <c r="S11" i="14"/>
  <c r="T11" i="14"/>
  <c r="T22" i="14"/>
  <c r="S22" i="14"/>
  <c r="T21" i="14"/>
  <c r="S21" i="14"/>
  <c r="T14" i="14"/>
  <c r="S14" i="14"/>
  <c r="I65" i="13"/>
  <c r="K65" i="13"/>
  <c r="J65" i="13"/>
  <c r="W9" i="13"/>
  <c r="V9" i="13"/>
  <c r="U9" i="13"/>
  <c r="V54" i="12"/>
  <c r="T54" i="12"/>
  <c r="S54" i="12"/>
  <c r="H56" i="12"/>
  <c r="L9" i="12"/>
  <c r="K9" i="12"/>
  <c r="J9" i="12"/>
  <c r="I9" i="12"/>
  <c r="W16" i="13"/>
  <c r="V16" i="13"/>
  <c r="U16" i="13"/>
  <c r="W10" i="13"/>
  <c r="V10" i="13"/>
  <c r="U10" i="13"/>
  <c r="W8" i="13"/>
  <c r="V8" i="13"/>
  <c r="U8" i="13"/>
  <c r="W11" i="13"/>
  <c r="V11" i="13"/>
  <c r="U11" i="13"/>
  <c r="U17" i="13"/>
  <c r="W17" i="13"/>
  <c r="V17" i="13"/>
  <c r="U19" i="13"/>
  <c r="W19" i="13"/>
  <c r="V19" i="13"/>
  <c r="W13" i="13"/>
  <c r="V13" i="13"/>
  <c r="U13" i="13"/>
  <c r="K71" i="13"/>
  <c r="J71" i="13"/>
  <c r="I71" i="13"/>
  <c r="R50" i="6"/>
  <c r="S50" i="6"/>
  <c r="Q50" i="6"/>
  <c r="K43" i="6"/>
  <c r="J43" i="6"/>
  <c r="I43" i="6"/>
  <c r="S39" i="6"/>
  <c r="R39" i="6"/>
  <c r="Q39" i="6"/>
  <c r="S31" i="6"/>
  <c r="R31" i="6"/>
  <c r="Q31" i="6"/>
  <c r="K25" i="6"/>
  <c r="J25" i="6"/>
  <c r="I25" i="6"/>
  <c r="S17" i="6"/>
  <c r="R17" i="6"/>
  <c r="Q17" i="6"/>
  <c r="K10" i="6"/>
  <c r="I10" i="6"/>
  <c r="J10" i="6"/>
  <c r="W36" i="5"/>
  <c r="V36" i="5"/>
  <c r="U36" i="5"/>
  <c r="S36" i="5"/>
  <c r="T36" i="5"/>
  <c r="M22" i="5"/>
  <c r="I22" i="5"/>
  <c r="L22" i="5"/>
  <c r="K22" i="5"/>
  <c r="J22" i="5"/>
  <c r="W20" i="5"/>
  <c r="S20" i="5"/>
  <c r="V20" i="5"/>
  <c r="U20" i="5"/>
  <c r="T20" i="5"/>
  <c r="F194" i="3"/>
  <c r="F192" i="3"/>
  <c r="F190" i="3"/>
  <c r="F188" i="3"/>
  <c r="F186" i="3"/>
  <c r="Q48" i="6"/>
  <c r="S48" i="6"/>
  <c r="R48" i="6"/>
  <c r="Q45" i="6"/>
  <c r="R45" i="6"/>
  <c r="S45" i="6"/>
  <c r="I29" i="6"/>
  <c r="K29" i="6"/>
  <c r="J29" i="6"/>
  <c r="I24" i="6"/>
  <c r="K24" i="6"/>
  <c r="J24" i="6"/>
  <c r="I9" i="6"/>
  <c r="J9" i="6"/>
  <c r="K9" i="6"/>
  <c r="I41" i="5"/>
  <c r="M41" i="5"/>
  <c r="L41" i="5"/>
  <c r="J41" i="5"/>
  <c r="K41" i="5"/>
  <c r="S39" i="5"/>
  <c r="W39" i="5"/>
  <c r="V39" i="5"/>
  <c r="T39" i="5"/>
  <c r="U39" i="5"/>
  <c r="I25" i="5"/>
  <c r="J25" i="5"/>
  <c r="M25" i="5"/>
  <c r="L25" i="5"/>
  <c r="K25" i="5"/>
  <c r="S23" i="5"/>
  <c r="T23" i="5"/>
  <c r="W23" i="5"/>
  <c r="V23" i="5"/>
  <c r="U23" i="5"/>
  <c r="E194" i="3"/>
  <c r="E192" i="3"/>
  <c r="E190" i="3"/>
  <c r="E188" i="3"/>
  <c r="E186" i="3"/>
  <c r="R40" i="6"/>
  <c r="S40" i="6"/>
  <c r="Q40" i="6"/>
  <c r="R32" i="6"/>
  <c r="Q32" i="6"/>
  <c r="S32" i="6"/>
  <c r="J23" i="6"/>
  <c r="I23" i="6"/>
  <c r="K23" i="6"/>
  <c r="R16" i="6"/>
  <c r="Q16" i="6"/>
  <c r="S16" i="6"/>
  <c r="J8" i="6"/>
  <c r="I8" i="6"/>
  <c r="K8" i="6"/>
  <c r="J44" i="5"/>
  <c r="I44" i="5"/>
  <c r="M44" i="5"/>
  <c r="K44" i="5"/>
  <c r="L44" i="5"/>
  <c r="T42" i="5"/>
  <c r="S42" i="5"/>
  <c r="W42" i="5"/>
  <c r="U42" i="5"/>
  <c r="V42" i="5"/>
  <c r="J28" i="5"/>
  <c r="I28" i="5"/>
  <c r="K28" i="5"/>
  <c r="M28" i="5"/>
  <c r="L28" i="5"/>
  <c r="T26" i="5"/>
  <c r="S26" i="5"/>
  <c r="U26" i="5"/>
  <c r="W26" i="5"/>
  <c r="V26" i="5"/>
  <c r="J9" i="5"/>
  <c r="I9" i="5"/>
  <c r="M9" i="5"/>
  <c r="L9" i="5"/>
  <c r="K9" i="5"/>
  <c r="T7" i="5"/>
  <c r="S7" i="5"/>
  <c r="V7" i="5"/>
  <c r="U7" i="5"/>
  <c r="W7" i="5"/>
  <c r="K48" i="6"/>
  <c r="J48" i="6"/>
  <c r="I48" i="6"/>
  <c r="K44" i="6"/>
  <c r="J44" i="6"/>
  <c r="I44" i="6"/>
  <c r="I37" i="6"/>
  <c r="K37" i="6"/>
  <c r="J37" i="6"/>
  <c r="K30" i="6"/>
  <c r="J30" i="6"/>
  <c r="I30" i="6"/>
  <c r="K22" i="6"/>
  <c r="J22" i="6"/>
  <c r="I22" i="6"/>
  <c r="S15" i="6"/>
  <c r="R15" i="6"/>
  <c r="Q15" i="6"/>
  <c r="K47" i="5"/>
  <c r="J47" i="5"/>
  <c r="I47" i="5"/>
  <c r="L47" i="5"/>
  <c r="M47" i="5"/>
  <c r="U45" i="5"/>
  <c r="T45" i="5"/>
  <c r="S45" i="5"/>
  <c r="V45" i="5"/>
  <c r="W45" i="5"/>
  <c r="K31" i="5"/>
  <c r="J31" i="5"/>
  <c r="I31" i="5"/>
  <c r="L31" i="5"/>
  <c r="M31" i="5"/>
  <c r="U29" i="5"/>
  <c r="T29" i="5"/>
  <c r="S29" i="5"/>
  <c r="V29" i="5"/>
  <c r="W29" i="5"/>
  <c r="U10" i="5"/>
  <c r="T10" i="5"/>
  <c r="S10" i="5"/>
  <c r="W10" i="5"/>
  <c r="V10" i="5"/>
  <c r="L217" i="3"/>
  <c r="K217" i="3"/>
  <c r="J217" i="3"/>
  <c r="L215" i="3"/>
  <c r="K215" i="3"/>
  <c r="J215" i="3"/>
  <c r="L213" i="3"/>
  <c r="K213" i="3"/>
  <c r="J213" i="3"/>
  <c r="L211" i="3"/>
  <c r="K211" i="3"/>
  <c r="J211" i="3"/>
  <c r="L209" i="3"/>
  <c r="K209" i="3"/>
  <c r="J209" i="3"/>
  <c r="S41" i="6"/>
  <c r="Q41" i="6"/>
  <c r="R41" i="6"/>
  <c r="S33" i="6"/>
  <c r="R33" i="6"/>
  <c r="Q33" i="6"/>
  <c r="K21" i="6"/>
  <c r="J21" i="6"/>
  <c r="I21" i="6"/>
  <c r="S14" i="6"/>
  <c r="R14" i="6"/>
  <c r="Q14" i="6"/>
  <c r="K38" i="6"/>
  <c r="J38" i="6"/>
  <c r="I38" i="6"/>
  <c r="K49" i="6"/>
  <c r="J49" i="6"/>
  <c r="I49" i="6"/>
  <c r="J34" i="6"/>
  <c r="K34" i="6"/>
  <c r="I34" i="6"/>
  <c r="K50" i="6"/>
  <c r="J50" i="6"/>
  <c r="I50" i="6"/>
  <c r="J51" i="6"/>
  <c r="I51" i="6"/>
  <c r="K51" i="6"/>
  <c r="J36" i="6"/>
  <c r="I36" i="6"/>
  <c r="K36" i="6"/>
  <c r="I52" i="6"/>
  <c r="J52" i="6"/>
  <c r="K52" i="6"/>
  <c r="L50" i="5"/>
  <c r="K50" i="5"/>
  <c r="J50" i="5"/>
  <c r="I50" i="5"/>
  <c r="M50" i="5"/>
  <c r="V48" i="5"/>
  <c r="U48" i="5"/>
  <c r="T48" i="5"/>
  <c r="S48" i="5"/>
  <c r="W48" i="5"/>
  <c r="L34" i="5"/>
  <c r="K34" i="5"/>
  <c r="J34" i="5"/>
  <c r="I34" i="5"/>
  <c r="M34" i="5"/>
  <c r="V32" i="5"/>
  <c r="U32" i="5"/>
  <c r="T32" i="5"/>
  <c r="S32" i="5"/>
  <c r="W32" i="5"/>
  <c r="V13" i="5"/>
  <c r="U13" i="5"/>
  <c r="T13" i="5"/>
  <c r="S13" i="5"/>
  <c r="W13" i="5"/>
  <c r="K20" i="6"/>
  <c r="J20" i="6"/>
  <c r="I20" i="6"/>
  <c r="S13" i="6"/>
  <c r="R13" i="6"/>
  <c r="Q13" i="6"/>
  <c r="W51" i="5"/>
  <c r="V51" i="5"/>
  <c r="U51" i="5"/>
  <c r="T51" i="5"/>
  <c r="S51" i="5"/>
  <c r="M37" i="5"/>
  <c r="L37" i="5"/>
  <c r="K37" i="5"/>
  <c r="J37" i="5"/>
  <c r="I37" i="5"/>
  <c r="W35" i="5"/>
  <c r="V35" i="5"/>
  <c r="U35" i="5"/>
  <c r="T35" i="5"/>
  <c r="S35" i="5"/>
  <c r="M21" i="5"/>
  <c r="L21" i="5"/>
  <c r="K21" i="5"/>
  <c r="J21" i="5"/>
  <c r="I21" i="5"/>
  <c r="W19" i="5"/>
  <c r="V19" i="5"/>
  <c r="U19" i="5"/>
  <c r="T19" i="5"/>
  <c r="S19" i="5"/>
  <c r="W16" i="5"/>
  <c r="V16" i="5"/>
  <c r="U16" i="5"/>
  <c r="T16" i="5"/>
  <c r="S16" i="5"/>
  <c r="L184" i="3"/>
  <c r="K184" i="3"/>
  <c r="J184" i="3"/>
  <c r="I195" i="3"/>
  <c r="L182" i="3"/>
  <c r="K182" i="3"/>
  <c r="I193" i="3"/>
  <c r="J182" i="3"/>
  <c r="I191" i="3"/>
  <c r="L180" i="3"/>
  <c r="K180" i="3"/>
  <c r="J180" i="3"/>
  <c r="I189" i="3"/>
  <c r="L178" i="3"/>
  <c r="K178" i="3"/>
  <c r="J178" i="3"/>
  <c r="L176" i="3"/>
  <c r="K176" i="3"/>
  <c r="J176" i="3"/>
  <c r="I187" i="3"/>
  <c r="L174" i="3"/>
  <c r="K174" i="3"/>
  <c r="J174" i="3"/>
  <c r="L172" i="3"/>
  <c r="K172" i="3"/>
  <c r="J172" i="3"/>
  <c r="L170" i="3"/>
  <c r="K170" i="3"/>
  <c r="J170" i="3"/>
  <c r="L168" i="3"/>
  <c r="K168" i="3"/>
  <c r="J168" i="3"/>
  <c r="L166" i="3"/>
  <c r="K166" i="3"/>
  <c r="J166" i="3"/>
  <c r="L164" i="3"/>
  <c r="K164" i="3"/>
  <c r="J164" i="3"/>
  <c r="L162" i="3"/>
  <c r="K162" i="3"/>
  <c r="J162" i="3"/>
  <c r="L160" i="3"/>
  <c r="K160" i="3"/>
  <c r="J160" i="3"/>
  <c r="L158" i="3"/>
  <c r="K158" i="3"/>
  <c r="J158" i="3"/>
  <c r="L156" i="3"/>
  <c r="K156" i="3"/>
  <c r="J156" i="3"/>
  <c r="L154" i="3"/>
  <c r="K154" i="3"/>
  <c r="J154" i="3"/>
  <c r="K45" i="6"/>
  <c r="J45" i="6"/>
  <c r="I45" i="6"/>
  <c r="S34" i="6"/>
  <c r="R34" i="6"/>
  <c r="Q34" i="6"/>
  <c r="K19" i="6"/>
  <c r="J19" i="6"/>
  <c r="I19" i="6"/>
  <c r="S12" i="6"/>
  <c r="R12" i="6"/>
  <c r="Q12" i="6"/>
  <c r="M40" i="5"/>
  <c r="L40" i="5"/>
  <c r="K40" i="5"/>
  <c r="J40" i="5"/>
  <c r="I40" i="5"/>
  <c r="W38" i="5"/>
  <c r="V38" i="5"/>
  <c r="U38" i="5"/>
  <c r="T38" i="5"/>
  <c r="S38" i="5"/>
  <c r="M24" i="5"/>
  <c r="L24" i="5"/>
  <c r="K24" i="5"/>
  <c r="J24" i="5"/>
  <c r="I24" i="5"/>
  <c r="W22" i="5"/>
  <c r="V22" i="5"/>
  <c r="U22" i="5"/>
  <c r="T22" i="5"/>
  <c r="S22" i="5"/>
  <c r="H195" i="3"/>
  <c r="H193" i="3"/>
  <c r="H191" i="3"/>
  <c r="H189" i="3"/>
  <c r="H187" i="3"/>
  <c r="J32" i="6"/>
  <c r="K32" i="6"/>
  <c r="I32" i="6"/>
  <c r="S27" i="6"/>
  <c r="R27" i="6"/>
  <c r="Q27" i="6"/>
  <c r="S26" i="6"/>
  <c r="R26" i="6"/>
  <c r="Q26" i="6"/>
  <c r="K18" i="6"/>
  <c r="J18" i="6"/>
  <c r="I18" i="6"/>
  <c r="S11" i="6"/>
  <c r="R11" i="6"/>
  <c r="Q11" i="6"/>
  <c r="M43" i="5"/>
  <c r="L43" i="5"/>
  <c r="K43" i="5"/>
  <c r="J43" i="5"/>
  <c r="I43" i="5"/>
  <c r="W41" i="5"/>
  <c r="V41" i="5"/>
  <c r="U41" i="5"/>
  <c r="T41" i="5"/>
  <c r="S41" i="5"/>
  <c r="W25" i="5"/>
  <c r="V25" i="5"/>
  <c r="U25" i="5"/>
  <c r="T25" i="5"/>
  <c r="S25" i="5"/>
  <c r="G195" i="3"/>
  <c r="G193" i="3"/>
  <c r="G191" i="3"/>
  <c r="G189" i="3"/>
  <c r="G187" i="3"/>
  <c r="S51" i="6"/>
  <c r="Q51" i="6"/>
  <c r="R51" i="6"/>
  <c r="S49" i="6"/>
  <c r="R49" i="6"/>
  <c r="Q49" i="6"/>
  <c r="K39" i="6"/>
  <c r="J39" i="6"/>
  <c r="I39" i="6"/>
  <c r="S35" i="6"/>
  <c r="R35" i="6"/>
  <c r="Q35" i="6"/>
  <c r="S25" i="6"/>
  <c r="R25" i="6"/>
  <c r="Q25" i="6"/>
  <c r="K17" i="6"/>
  <c r="J17" i="6"/>
  <c r="I17" i="6"/>
  <c r="S10" i="6"/>
  <c r="R10" i="6"/>
  <c r="Q10" i="6"/>
  <c r="M46" i="5"/>
  <c r="L46" i="5"/>
  <c r="K46" i="5"/>
  <c r="J46" i="5"/>
  <c r="I46" i="5"/>
  <c r="W44" i="5"/>
  <c r="V44" i="5"/>
  <c r="U44" i="5"/>
  <c r="T44" i="5"/>
  <c r="S44" i="5"/>
  <c r="W28" i="5"/>
  <c r="V28" i="5"/>
  <c r="U28" i="5"/>
  <c r="T28" i="5"/>
  <c r="S28" i="5"/>
  <c r="W9" i="5"/>
  <c r="V9" i="5"/>
  <c r="U9" i="5"/>
  <c r="T9" i="5"/>
  <c r="S9" i="5"/>
  <c r="F195" i="3"/>
  <c r="F193" i="3"/>
  <c r="F191" i="3"/>
  <c r="F189" i="3"/>
  <c r="F187" i="3"/>
  <c r="K46" i="6"/>
  <c r="J46" i="6"/>
  <c r="I46" i="6"/>
  <c r="K33" i="6"/>
  <c r="I33" i="6"/>
  <c r="J33" i="6"/>
  <c r="S24" i="6"/>
  <c r="R24" i="6"/>
  <c r="Q24" i="6"/>
  <c r="S9" i="6"/>
  <c r="R9" i="6"/>
  <c r="Q9" i="6"/>
  <c r="M49" i="5"/>
  <c r="L49" i="5"/>
  <c r="K49" i="5"/>
  <c r="J49" i="5"/>
  <c r="I49" i="5"/>
  <c r="W47" i="5"/>
  <c r="V47" i="5"/>
  <c r="U47" i="5"/>
  <c r="T47" i="5"/>
  <c r="S47" i="5"/>
  <c r="W31" i="5"/>
  <c r="V31" i="5"/>
  <c r="U31" i="5"/>
  <c r="T31" i="5"/>
  <c r="S31" i="5"/>
  <c r="M17" i="5"/>
  <c r="L17" i="5"/>
  <c r="K17" i="5"/>
  <c r="J17" i="5"/>
  <c r="I17" i="5"/>
  <c r="E195" i="3"/>
  <c r="E193" i="3"/>
  <c r="E191" i="3"/>
  <c r="E189" i="3"/>
  <c r="E187" i="3"/>
  <c r="K40" i="6"/>
  <c r="J40" i="6"/>
  <c r="I40" i="6"/>
  <c r="S36" i="6"/>
  <c r="R36" i="6"/>
  <c r="Q36" i="6"/>
  <c r="S23" i="6"/>
  <c r="R23" i="6"/>
  <c r="Q23" i="6"/>
  <c r="S8" i="6"/>
  <c r="R8" i="6"/>
  <c r="Q8" i="6"/>
  <c r="M52" i="5"/>
  <c r="L52" i="5"/>
  <c r="K52" i="5"/>
  <c r="J52" i="5"/>
  <c r="I52" i="5"/>
  <c r="W50" i="5"/>
  <c r="V50" i="5"/>
  <c r="U50" i="5"/>
  <c r="T50" i="5"/>
  <c r="S50" i="5"/>
  <c r="W34" i="5"/>
  <c r="V34" i="5"/>
  <c r="U34" i="5"/>
  <c r="T34" i="5"/>
  <c r="S34" i="5"/>
  <c r="M20" i="5"/>
  <c r="L20" i="5"/>
  <c r="K20" i="5"/>
  <c r="J20" i="5"/>
  <c r="I20" i="5"/>
  <c r="W18" i="5"/>
  <c r="V18" i="5"/>
  <c r="U18" i="5"/>
  <c r="T18" i="5"/>
  <c r="S18" i="5"/>
  <c r="W15" i="5"/>
  <c r="V15" i="5"/>
  <c r="U15" i="5"/>
  <c r="T15" i="5"/>
  <c r="S15" i="5"/>
  <c r="S47" i="6"/>
  <c r="R47" i="6"/>
  <c r="Q47" i="6"/>
  <c r="Q29" i="6"/>
  <c r="S29" i="6"/>
  <c r="R29" i="6"/>
  <c r="S22" i="6"/>
  <c r="R22" i="6"/>
  <c r="Q22" i="6"/>
  <c r="S7" i="6"/>
  <c r="R7" i="6"/>
  <c r="Q7" i="6"/>
  <c r="M39" i="5"/>
  <c r="L39" i="5"/>
  <c r="K39" i="5"/>
  <c r="J39" i="5"/>
  <c r="I39" i="5"/>
  <c r="W37" i="5"/>
  <c r="V37" i="5"/>
  <c r="U37" i="5"/>
  <c r="T37" i="5"/>
  <c r="S37" i="5"/>
  <c r="W21" i="5"/>
  <c r="V21" i="5"/>
  <c r="U21" i="5"/>
  <c r="T21" i="5"/>
  <c r="S21" i="5"/>
  <c r="L218" i="3"/>
  <c r="K218" i="3"/>
  <c r="J218" i="3"/>
  <c r="L216" i="3"/>
  <c r="K216" i="3"/>
  <c r="J216" i="3"/>
  <c r="L214" i="3"/>
  <c r="K214" i="3"/>
  <c r="J214" i="3"/>
  <c r="L212" i="3"/>
  <c r="K212" i="3"/>
  <c r="J212" i="3"/>
  <c r="L210" i="3"/>
  <c r="K210" i="3"/>
  <c r="J210" i="3"/>
  <c r="L208" i="3"/>
  <c r="K208" i="3"/>
  <c r="J208" i="3"/>
  <c r="S37" i="6"/>
  <c r="R37" i="6"/>
  <c r="Q37" i="6"/>
  <c r="S21" i="6"/>
  <c r="R21" i="6"/>
  <c r="Q21" i="6"/>
  <c r="S30" i="6"/>
  <c r="R30" i="6"/>
  <c r="Q30" i="6"/>
  <c r="S46" i="6"/>
  <c r="R46" i="6"/>
  <c r="Q46" i="6"/>
  <c r="S52" i="6"/>
  <c r="R52" i="6"/>
  <c r="Q52" i="6"/>
  <c r="R42" i="6"/>
  <c r="S42" i="6"/>
  <c r="Q42" i="6"/>
  <c r="Q43" i="6"/>
  <c r="S43" i="6"/>
  <c r="R43" i="6"/>
  <c r="R28" i="6"/>
  <c r="S28" i="6"/>
  <c r="Q28" i="6"/>
  <c r="R44" i="6"/>
  <c r="S44" i="6"/>
  <c r="Q44" i="6"/>
  <c r="K47" i="6"/>
  <c r="J47" i="6"/>
  <c r="I47" i="6"/>
  <c r="S19" i="6"/>
  <c r="R19" i="6"/>
  <c r="Q19" i="6"/>
  <c r="S18" i="6"/>
  <c r="R18" i="6"/>
  <c r="Q18" i="6"/>
  <c r="W49" i="5"/>
  <c r="V49" i="5"/>
  <c r="U49" i="5"/>
  <c r="T49" i="5"/>
  <c r="S49" i="5"/>
  <c r="M19" i="5"/>
  <c r="L19" i="5"/>
  <c r="K19" i="5"/>
  <c r="J19" i="5"/>
  <c r="I19" i="5"/>
  <c r="W17" i="5"/>
  <c r="V17" i="5"/>
  <c r="S17" i="5"/>
  <c r="U17" i="5"/>
  <c r="T17" i="5"/>
  <c r="L143" i="3"/>
  <c r="K143" i="3"/>
  <c r="J143" i="3"/>
  <c r="L135" i="3"/>
  <c r="K135" i="3"/>
  <c r="J135" i="3"/>
  <c r="L96" i="3"/>
  <c r="K96" i="3"/>
  <c r="J96" i="3"/>
  <c r="L87" i="3"/>
  <c r="J87" i="3"/>
  <c r="K87" i="3"/>
  <c r="K51" i="3"/>
  <c r="J51" i="3"/>
  <c r="K47" i="3"/>
  <c r="J47" i="3"/>
  <c r="F68" i="2"/>
  <c r="K38" i="2"/>
  <c r="L38" i="2"/>
  <c r="J38" i="2"/>
  <c r="K36" i="2"/>
  <c r="L36" i="2"/>
  <c r="J36" i="2"/>
  <c r="K34" i="2"/>
  <c r="L34" i="2"/>
  <c r="J34" i="2"/>
  <c r="L32" i="2"/>
  <c r="K32" i="2"/>
  <c r="J32" i="2"/>
  <c r="J12" i="2"/>
  <c r="L12" i="2"/>
  <c r="K12" i="2"/>
  <c r="L95" i="3"/>
  <c r="K95" i="3"/>
  <c r="J95" i="3"/>
  <c r="J84" i="3"/>
  <c r="L84" i="3"/>
  <c r="K84" i="3"/>
  <c r="L71" i="3"/>
  <c r="J71" i="3"/>
  <c r="K71" i="3"/>
  <c r="J62" i="3"/>
  <c r="L62" i="3"/>
  <c r="K62" i="3"/>
  <c r="J58" i="3"/>
  <c r="K58" i="3"/>
  <c r="J54" i="3"/>
  <c r="K54" i="3"/>
  <c r="L20" i="3"/>
  <c r="J20" i="3"/>
  <c r="K20" i="3"/>
  <c r="J11" i="3"/>
  <c r="L11" i="3"/>
  <c r="K11" i="3"/>
  <c r="J9" i="3"/>
  <c r="L9" i="3"/>
  <c r="K9" i="3"/>
  <c r="J7" i="3"/>
  <c r="L7" i="3"/>
  <c r="K7" i="3"/>
  <c r="J73" i="2"/>
  <c r="L73" i="2"/>
  <c r="K73" i="2"/>
  <c r="E68" i="2"/>
  <c r="F42" i="2"/>
  <c r="I123" i="3"/>
  <c r="K112" i="3"/>
  <c r="J112" i="3"/>
  <c r="L112" i="3"/>
  <c r="I117" i="3"/>
  <c r="K106" i="3"/>
  <c r="J106" i="3"/>
  <c r="L106" i="3"/>
  <c r="L30" i="3"/>
  <c r="K30" i="3"/>
  <c r="J30" i="3"/>
  <c r="J13" i="3"/>
  <c r="L13" i="3"/>
  <c r="K13" i="3"/>
  <c r="G43" i="2"/>
  <c r="K24" i="2"/>
  <c r="J24" i="2"/>
  <c r="L24" i="2"/>
  <c r="K22" i="2"/>
  <c r="J22" i="2"/>
  <c r="L22" i="2"/>
  <c r="G122" i="3"/>
  <c r="I116" i="3"/>
  <c r="L105" i="3"/>
  <c r="K105" i="3"/>
  <c r="J105" i="3"/>
  <c r="L83" i="3"/>
  <c r="J83" i="3"/>
  <c r="K83" i="3"/>
  <c r="L68" i="3"/>
  <c r="K68" i="3"/>
  <c r="J68" i="3"/>
  <c r="L36" i="3"/>
  <c r="K36" i="3"/>
  <c r="J36" i="3"/>
  <c r="L22" i="3"/>
  <c r="K22" i="3"/>
  <c r="J22" i="3"/>
  <c r="F43" i="2"/>
  <c r="J16" i="2"/>
  <c r="K16" i="2"/>
  <c r="K8" i="2"/>
  <c r="L8" i="2"/>
  <c r="J8" i="2"/>
  <c r="L141" i="3"/>
  <c r="K141" i="3"/>
  <c r="J141" i="3"/>
  <c r="G116" i="3"/>
  <c r="L100" i="3"/>
  <c r="K100" i="3"/>
  <c r="J100" i="3"/>
  <c r="J15" i="3"/>
  <c r="L15" i="3"/>
  <c r="K15" i="3"/>
  <c r="E43" i="2"/>
  <c r="L15" i="2"/>
  <c r="K15" i="2"/>
  <c r="J15" i="2"/>
  <c r="I18" i="2"/>
  <c r="L13" i="2"/>
  <c r="K13" i="2"/>
  <c r="J13" i="2"/>
  <c r="L11" i="2"/>
  <c r="K11" i="2"/>
  <c r="J11" i="2"/>
  <c r="L9" i="2"/>
  <c r="K9" i="2"/>
  <c r="J9" i="2"/>
  <c r="L7" i="2"/>
  <c r="K7" i="2"/>
  <c r="J7" i="2"/>
  <c r="L99" i="3"/>
  <c r="K99" i="3"/>
  <c r="J99" i="3"/>
  <c r="L90" i="3"/>
  <c r="K90" i="3"/>
  <c r="J90" i="3"/>
  <c r="L80" i="3"/>
  <c r="K80" i="3"/>
  <c r="J80" i="3"/>
  <c r="L67" i="3"/>
  <c r="J67" i="3"/>
  <c r="K67" i="3"/>
  <c r="L24" i="3"/>
  <c r="K24" i="3"/>
  <c r="J24" i="3"/>
  <c r="L66" i="2"/>
  <c r="K66" i="2"/>
  <c r="J66" i="2"/>
  <c r="I69" i="2"/>
  <c r="L64" i="2"/>
  <c r="K64" i="2"/>
  <c r="J64" i="2"/>
  <c r="L62" i="2"/>
  <c r="K62" i="2"/>
  <c r="J62" i="2"/>
  <c r="L60" i="2"/>
  <c r="K60" i="2"/>
  <c r="J60" i="2"/>
  <c r="L94" i="3"/>
  <c r="K94" i="3"/>
  <c r="J94" i="3"/>
  <c r="J17" i="3"/>
  <c r="L17" i="3"/>
  <c r="K17" i="3"/>
  <c r="H69" i="2"/>
  <c r="L50" i="2"/>
  <c r="K50" i="2"/>
  <c r="J50" i="2"/>
  <c r="L110" i="3"/>
  <c r="K110" i="3"/>
  <c r="J110" i="3"/>
  <c r="I121" i="3"/>
  <c r="L93" i="3"/>
  <c r="K93" i="3"/>
  <c r="J93" i="3"/>
  <c r="L89" i="3"/>
  <c r="J89" i="3"/>
  <c r="K89" i="3"/>
  <c r="L86" i="3"/>
  <c r="K86" i="3"/>
  <c r="J86" i="3"/>
  <c r="L109" i="3"/>
  <c r="K109" i="3"/>
  <c r="I120" i="3"/>
  <c r="J109" i="3"/>
  <c r="L111" i="3"/>
  <c r="K111" i="3"/>
  <c r="J111" i="3"/>
  <c r="I122" i="3"/>
  <c r="L136" i="3"/>
  <c r="K136" i="3"/>
  <c r="J136" i="3"/>
  <c r="L138" i="3"/>
  <c r="K138" i="3"/>
  <c r="J138" i="3"/>
  <c r="L140" i="3"/>
  <c r="K140" i="3"/>
  <c r="J140" i="3"/>
  <c r="L142" i="3"/>
  <c r="K142" i="3"/>
  <c r="J142" i="3"/>
  <c r="L144" i="3"/>
  <c r="K144" i="3"/>
  <c r="J144" i="3"/>
  <c r="L64" i="3"/>
  <c r="K64" i="3"/>
  <c r="J64" i="3"/>
  <c r="K46" i="3"/>
  <c r="J46" i="3"/>
  <c r="K42" i="3"/>
  <c r="J42" i="3"/>
  <c r="L32" i="3"/>
  <c r="K32" i="3"/>
  <c r="J32" i="3"/>
  <c r="G69" i="2"/>
  <c r="K19" i="2"/>
  <c r="J19" i="2"/>
  <c r="G120" i="3"/>
  <c r="L104" i="3"/>
  <c r="K104" i="3"/>
  <c r="J104" i="3"/>
  <c r="I115" i="3"/>
  <c r="H114" i="3"/>
  <c r="H116" i="3"/>
  <c r="H118" i="3"/>
  <c r="H120" i="3"/>
  <c r="H122" i="3"/>
  <c r="H113" i="3"/>
  <c r="H115" i="3"/>
  <c r="H117" i="3"/>
  <c r="H119" i="3"/>
  <c r="J119" i="3" s="1"/>
  <c r="H121" i="3"/>
  <c r="H123" i="3"/>
  <c r="K53" i="3"/>
  <c r="J53" i="3"/>
  <c r="K49" i="3"/>
  <c r="J49" i="3"/>
  <c r="L26" i="3"/>
  <c r="K26" i="3"/>
  <c r="J26" i="3"/>
  <c r="J19" i="3"/>
  <c r="L19" i="3"/>
  <c r="K19" i="3"/>
  <c r="F69" i="2"/>
  <c r="K41" i="2"/>
  <c r="J41" i="2"/>
  <c r="I42" i="2"/>
  <c r="L39" i="2"/>
  <c r="K39" i="2"/>
  <c r="J39" i="2"/>
  <c r="L37" i="2"/>
  <c r="K37" i="2"/>
  <c r="J37" i="2"/>
  <c r="L35" i="2"/>
  <c r="K35" i="2"/>
  <c r="J35" i="2"/>
  <c r="L33" i="2"/>
  <c r="K33" i="2"/>
  <c r="J33" i="2"/>
  <c r="I114" i="3"/>
  <c r="L103" i="3"/>
  <c r="K103" i="3"/>
  <c r="J103" i="3"/>
  <c r="L85" i="3"/>
  <c r="J85" i="3"/>
  <c r="K85" i="3"/>
  <c r="G113" i="3"/>
  <c r="G115" i="3"/>
  <c r="G117" i="3"/>
  <c r="G119" i="3"/>
  <c r="G121" i="3"/>
  <c r="G123" i="3"/>
  <c r="L70" i="3"/>
  <c r="K70" i="3"/>
  <c r="J70" i="3"/>
  <c r="L63" i="3"/>
  <c r="J63" i="3"/>
  <c r="K63" i="3"/>
  <c r="K60" i="3"/>
  <c r="J60" i="3"/>
  <c r="K56" i="3"/>
  <c r="J56" i="3"/>
  <c r="L38" i="3"/>
  <c r="K38" i="3"/>
  <c r="J38" i="3"/>
  <c r="L12" i="3"/>
  <c r="K12" i="3"/>
  <c r="J12" i="3"/>
  <c r="L10" i="3"/>
  <c r="K10" i="3"/>
  <c r="J10" i="3"/>
  <c r="L8" i="3"/>
  <c r="K8" i="3"/>
  <c r="J8" i="3"/>
  <c r="K45" i="3"/>
  <c r="J45" i="3"/>
  <c r="K61" i="3"/>
  <c r="J61" i="3"/>
  <c r="K43" i="3"/>
  <c r="J43" i="3"/>
  <c r="K59" i="3"/>
  <c r="J59" i="3"/>
  <c r="K50" i="3"/>
  <c r="J50" i="3"/>
  <c r="K41" i="3"/>
  <c r="J41" i="3"/>
  <c r="K57" i="3"/>
  <c r="J57" i="3"/>
  <c r="J27" i="3"/>
  <c r="L27" i="3"/>
  <c r="K27" i="3"/>
  <c r="J29" i="3"/>
  <c r="L29" i="3"/>
  <c r="K29" i="3"/>
  <c r="J31" i="3"/>
  <c r="L31" i="3"/>
  <c r="K31" i="3"/>
  <c r="J33" i="3"/>
  <c r="L33" i="3"/>
  <c r="K33" i="3"/>
  <c r="J35" i="3"/>
  <c r="L35" i="3"/>
  <c r="K35" i="3"/>
  <c r="J37" i="3"/>
  <c r="L37" i="3"/>
  <c r="K37" i="3"/>
  <c r="J39" i="3"/>
  <c r="L39" i="3"/>
  <c r="K39" i="3"/>
  <c r="J48" i="3"/>
  <c r="K48" i="3"/>
  <c r="K55" i="3"/>
  <c r="J55" i="3"/>
  <c r="L74" i="2"/>
  <c r="K74" i="2"/>
  <c r="J74" i="2"/>
  <c r="E69" i="2"/>
  <c r="H42" i="2"/>
  <c r="K21" i="2"/>
  <c r="J21" i="2"/>
  <c r="G114" i="3"/>
  <c r="L98" i="3"/>
  <c r="K98" i="3"/>
  <c r="J98" i="3"/>
  <c r="F114" i="3"/>
  <c r="F116" i="3"/>
  <c r="F118" i="3"/>
  <c r="F120" i="3"/>
  <c r="F122" i="3"/>
  <c r="F113" i="3"/>
  <c r="F115" i="3"/>
  <c r="F117" i="3"/>
  <c r="F119" i="3"/>
  <c r="F121" i="3"/>
  <c r="F123" i="3"/>
  <c r="J21" i="3"/>
  <c r="L21" i="3"/>
  <c r="K21" i="3"/>
  <c r="G42" i="2"/>
  <c r="L23" i="2"/>
  <c r="K23" i="2"/>
  <c r="J23" i="2"/>
  <c r="E114" i="3"/>
  <c r="E116" i="3"/>
  <c r="E118" i="3"/>
  <c r="E120" i="3"/>
  <c r="E122" i="3"/>
  <c r="E113" i="3"/>
  <c r="E115" i="3"/>
  <c r="E117" i="3"/>
  <c r="E119" i="3"/>
  <c r="E121" i="3"/>
  <c r="E123" i="3"/>
  <c r="L69" i="3"/>
  <c r="J69" i="3"/>
  <c r="K69" i="3"/>
  <c r="L10" i="2"/>
  <c r="J10" i="2"/>
  <c r="K10" i="2"/>
  <c r="L101" i="3"/>
  <c r="K101" i="3"/>
  <c r="J101" i="3"/>
  <c r="L91" i="3"/>
  <c r="J91" i="3"/>
  <c r="K91" i="3"/>
  <c r="L72" i="3"/>
  <c r="K72" i="3"/>
  <c r="J72" i="3"/>
  <c r="L65" i="3"/>
  <c r="J65" i="3"/>
  <c r="K65" i="3"/>
  <c r="K44" i="3"/>
  <c r="J44" i="3"/>
  <c r="K40" i="3"/>
  <c r="J40" i="3"/>
  <c r="J25" i="3"/>
  <c r="L25" i="3"/>
  <c r="K25" i="3"/>
  <c r="L18" i="3"/>
  <c r="K18" i="3"/>
  <c r="J18" i="3"/>
  <c r="G68" i="2"/>
  <c r="J14" i="2"/>
  <c r="I17" i="2"/>
  <c r="K14" i="2"/>
  <c r="L14" i="2"/>
  <c r="N16" i="45"/>
  <c r="M16" i="45"/>
  <c r="L16" i="45"/>
  <c r="P16" i="44"/>
  <c r="T16" i="44"/>
  <c r="S16" i="44"/>
  <c r="R16" i="44"/>
  <c r="Q16" i="44"/>
  <c r="M146" i="44"/>
  <c r="L146" i="44"/>
  <c r="O146" i="44"/>
  <c r="N146" i="44"/>
  <c r="T16" i="45"/>
  <c r="S16" i="45"/>
  <c r="R16" i="45"/>
  <c r="Q16" i="45"/>
  <c r="P16" i="45"/>
  <c r="I11" i="39"/>
  <c r="G11" i="39"/>
  <c r="H11" i="39"/>
  <c r="J16" i="44"/>
  <c r="I16" i="44"/>
  <c r="H16" i="44"/>
  <c r="P16" i="43"/>
  <c r="T16" i="43"/>
  <c r="R16" i="43"/>
  <c r="Q16" i="43"/>
  <c r="S16" i="43"/>
  <c r="J16" i="45"/>
  <c r="I16" i="45"/>
  <c r="H16" i="45"/>
  <c r="O146" i="43"/>
  <c r="N146" i="43"/>
  <c r="M146" i="43"/>
  <c r="L146" i="43"/>
  <c r="L11" i="39"/>
  <c r="K11" i="39"/>
  <c r="M11" i="39"/>
  <c r="I146" i="44"/>
  <c r="H146" i="44"/>
  <c r="K146" i="44" s="1"/>
  <c r="G146" i="44"/>
  <c r="N16" i="44"/>
  <c r="L16" i="44"/>
  <c r="M16" i="44"/>
  <c r="J16" i="43"/>
  <c r="I16" i="43"/>
  <c r="H16" i="43"/>
  <c r="I129" i="39"/>
  <c r="H129" i="39"/>
  <c r="G129" i="39"/>
  <c r="O129" i="39"/>
  <c r="N129" i="39"/>
  <c r="M129" i="39"/>
  <c r="L129" i="39"/>
  <c r="K129" i="39"/>
  <c r="T11" i="39"/>
  <c r="R11" i="39"/>
  <c r="P11" i="39"/>
  <c r="S11" i="39"/>
  <c r="Q11" i="39"/>
  <c r="O11" i="39"/>
  <c r="K104" i="27"/>
  <c r="J104" i="27"/>
  <c r="I104" i="27"/>
  <c r="K20" i="26"/>
  <c r="J20" i="26"/>
  <c r="I20" i="26"/>
  <c r="K76" i="26"/>
  <c r="J76" i="26"/>
  <c r="I76" i="26"/>
  <c r="L35" i="22"/>
  <c r="J35" i="22"/>
  <c r="K35" i="22"/>
  <c r="J133" i="22"/>
  <c r="L133" i="22"/>
  <c r="K133" i="22"/>
  <c r="L49" i="22"/>
  <c r="K49" i="22"/>
  <c r="J49" i="22"/>
  <c r="R21" i="19"/>
  <c r="P21" i="19"/>
  <c r="R49" i="19"/>
  <c r="P49" i="19"/>
  <c r="P23" i="19"/>
  <c r="R23" i="19"/>
  <c r="X63" i="19"/>
  <c r="R9" i="19"/>
  <c r="P9" i="19"/>
  <c r="J35" i="19"/>
  <c r="H35" i="19"/>
  <c r="R91" i="19"/>
  <c r="P91" i="19"/>
  <c r="H37" i="19"/>
  <c r="J37" i="19"/>
  <c r="H21" i="19"/>
  <c r="J21" i="19"/>
  <c r="R22" i="18"/>
  <c r="Q22" i="18"/>
  <c r="J133" i="17"/>
  <c r="I133" i="17"/>
  <c r="K133" i="17"/>
  <c r="K121" i="17"/>
  <c r="J121" i="17"/>
  <c r="I121" i="17"/>
  <c r="I91" i="17"/>
  <c r="K91" i="17"/>
  <c r="J91" i="17"/>
  <c r="K119" i="17"/>
  <c r="J119" i="17"/>
  <c r="I119" i="17"/>
  <c r="K107" i="17"/>
  <c r="J107" i="17"/>
  <c r="I107" i="17"/>
  <c r="K77" i="17"/>
  <c r="J77" i="17"/>
  <c r="I77" i="17"/>
  <c r="K49" i="17"/>
  <c r="J49" i="17"/>
  <c r="I49" i="17"/>
  <c r="J93" i="17"/>
  <c r="I93" i="17"/>
  <c r="K93" i="17"/>
  <c r="R90" i="18"/>
  <c r="Q90" i="18"/>
  <c r="J65" i="17"/>
  <c r="I65" i="17"/>
  <c r="K65" i="17"/>
  <c r="R34" i="18"/>
  <c r="Q34" i="18"/>
  <c r="K23" i="17"/>
  <c r="J23" i="17"/>
  <c r="I23" i="17"/>
  <c r="W21" i="16"/>
  <c r="V21" i="16"/>
  <c r="U21" i="16"/>
  <c r="K9" i="17"/>
  <c r="J9" i="17"/>
  <c r="I9" i="17"/>
  <c r="Y20" i="18"/>
  <c r="X20" i="18"/>
  <c r="K77" i="16"/>
  <c r="J77" i="16"/>
  <c r="I77" i="16"/>
  <c r="U9" i="16"/>
  <c r="W9" i="16"/>
  <c r="V9" i="16"/>
  <c r="I149" i="14"/>
  <c r="J149" i="14"/>
  <c r="K35" i="16"/>
  <c r="J35" i="16"/>
  <c r="I35" i="16"/>
  <c r="J23" i="14"/>
  <c r="I23" i="14"/>
  <c r="J163" i="14"/>
  <c r="I163" i="14"/>
  <c r="I37" i="14"/>
  <c r="J37" i="14"/>
  <c r="J51" i="14"/>
  <c r="I51" i="14"/>
  <c r="I65" i="14"/>
  <c r="J65" i="14"/>
  <c r="J79" i="14"/>
  <c r="I79" i="14"/>
  <c r="J135" i="14"/>
  <c r="I135" i="14"/>
  <c r="I93" i="14"/>
  <c r="J93" i="14"/>
  <c r="J107" i="14"/>
  <c r="I107" i="14"/>
  <c r="I121" i="14"/>
  <c r="J121" i="14"/>
  <c r="Y21" i="15"/>
  <c r="X21" i="15"/>
  <c r="W21" i="15"/>
  <c r="J76" i="13"/>
  <c r="K76" i="13"/>
  <c r="I76" i="13"/>
  <c r="K62" i="13"/>
  <c r="I62" i="13"/>
  <c r="J62" i="13"/>
  <c r="K34" i="13"/>
  <c r="J34" i="13"/>
  <c r="I34" i="13"/>
  <c r="L55" i="12"/>
  <c r="I55" i="12"/>
  <c r="K55" i="12"/>
  <c r="J55" i="12"/>
  <c r="V20" i="13"/>
  <c r="W20" i="13"/>
  <c r="U20" i="13"/>
  <c r="J196" i="3"/>
  <c r="K196" i="3"/>
  <c r="K207" i="3"/>
  <c r="J207" i="3"/>
  <c r="K199" i="3"/>
  <c r="J199" i="3"/>
  <c r="K188" i="3"/>
  <c r="J188" i="3"/>
  <c r="K68" i="2"/>
  <c r="J68" i="2"/>
  <c r="K71" i="2"/>
  <c r="J71" i="2"/>
  <c r="K194" i="3"/>
  <c r="J194" i="3"/>
  <c r="K205" i="3"/>
  <c r="J205" i="3"/>
  <c r="K197" i="3"/>
  <c r="J197" i="3"/>
  <c r="K186" i="3"/>
  <c r="J186" i="3"/>
  <c r="K203" i="3"/>
  <c r="J203" i="3"/>
  <c r="K192" i="3"/>
  <c r="J192" i="3"/>
  <c r="K130" i="3"/>
  <c r="J130" i="3"/>
  <c r="K129" i="3"/>
  <c r="J129" i="3"/>
  <c r="K118" i="3"/>
  <c r="J118" i="3"/>
  <c r="K124" i="3"/>
  <c r="J124" i="3"/>
  <c r="K113" i="3"/>
  <c r="J113" i="3"/>
  <c r="K201" i="3"/>
  <c r="J201" i="3"/>
  <c r="K190" i="3"/>
  <c r="J190" i="3"/>
  <c r="K43" i="2"/>
  <c r="J43" i="2"/>
  <c r="K46" i="2"/>
  <c r="J46" i="2"/>
  <c r="C51" i="52" l="1"/>
  <c r="D52" i="52" s="1"/>
  <c r="C29" i="52"/>
  <c r="D30" i="52" s="1"/>
  <c r="C73" i="52"/>
  <c r="D74" i="52" s="1"/>
  <c r="D8" i="52"/>
  <c r="F8" i="52"/>
  <c r="F30" i="52"/>
  <c r="F74" i="52"/>
  <c r="H30" i="52"/>
  <c r="G253" i="51"/>
  <c r="G227" i="51"/>
  <c r="G117" i="51"/>
  <c r="G205" i="51"/>
  <c r="G95" i="51"/>
  <c r="G73" i="51"/>
  <c r="G183" i="51"/>
  <c r="H8" i="51"/>
  <c r="G29" i="51"/>
  <c r="G161" i="51"/>
  <c r="E7" i="51"/>
  <c r="G139" i="51"/>
  <c r="G51" i="51"/>
  <c r="F52" i="52"/>
  <c r="E73" i="49"/>
  <c r="F74" i="49" s="1"/>
  <c r="E249" i="49"/>
  <c r="F250" i="49" s="1"/>
  <c r="E161" i="49"/>
  <c r="F162" i="49" s="1"/>
  <c r="F8" i="49"/>
  <c r="E29" i="49"/>
  <c r="F30" i="49" s="1"/>
  <c r="E271" i="49"/>
  <c r="F272" i="49" s="1"/>
  <c r="E183" i="49"/>
  <c r="F184" i="49" s="1"/>
  <c r="E95" i="49"/>
  <c r="F96" i="49" s="1"/>
  <c r="E205" i="49"/>
  <c r="F206" i="49" s="1"/>
  <c r="E117" i="49"/>
  <c r="F118" i="49" s="1"/>
  <c r="E51" i="49"/>
  <c r="F52" i="49" s="1"/>
  <c r="E227" i="49"/>
  <c r="F228" i="49" s="1"/>
  <c r="E139" i="49"/>
  <c r="F140" i="49" s="1"/>
  <c r="C7" i="49"/>
  <c r="K18" i="16"/>
  <c r="K11" i="16"/>
  <c r="K12" i="16"/>
  <c r="Z9" i="19"/>
  <c r="Z20" i="19"/>
  <c r="Z25" i="19"/>
  <c r="Z137" i="19"/>
  <c r="Z74" i="19"/>
  <c r="Z39" i="19"/>
  <c r="Z59" i="19"/>
  <c r="Z140" i="19"/>
  <c r="Z132" i="19"/>
  <c r="Z96" i="19"/>
  <c r="Z34" i="19"/>
  <c r="Z129" i="19"/>
  <c r="Z57" i="19"/>
  <c r="Z29" i="19"/>
  <c r="Z130" i="19"/>
  <c r="Z88" i="19"/>
  <c r="Z32" i="19"/>
  <c r="Z82" i="19"/>
  <c r="Z53" i="19"/>
  <c r="Z12" i="19"/>
  <c r="Z128" i="19"/>
  <c r="Z123" i="19"/>
  <c r="Z30" i="19"/>
  <c r="Z101" i="19"/>
  <c r="Z48" i="19"/>
  <c r="Z18" i="19"/>
  <c r="Z14" i="19"/>
  <c r="Z126" i="19"/>
  <c r="Z116" i="19"/>
  <c r="Z28" i="19"/>
  <c r="Z144" i="19"/>
  <c r="Z46" i="19"/>
  <c r="Z11" i="19"/>
  <c r="Z124" i="19"/>
  <c r="Z112" i="19"/>
  <c r="Z26" i="19"/>
  <c r="Z127" i="19"/>
  <c r="Z44" i="19"/>
  <c r="Z138" i="19"/>
  <c r="Z117" i="19"/>
  <c r="Z71" i="19"/>
  <c r="Z19" i="19"/>
  <c r="Z86" i="19"/>
  <c r="Z42" i="19"/>
  <c r="Z85" i="19"/>
  <c r="Z115" i="19"/>
  <c r="Z67" i="19"/>
  <c r="Z17" i="19"/>
  <c r="Z76" i="19"/>
  <c r="Z99" i="19"/>
  <c r="Z33" i="19"/>
  <c r="Z160" i="19"/>
  <c r="Z113" i="19"/>
  <c r="Z62" i="19"/>
  <c r="Z15" i="19"/>
  <c r="Z100" i="19"/>
  <c r="Z90" i="19"/>
  <c r="Z89" i="19"/>
  <c r="Z158" i="19"/>
  <c r="Z109" i="19"/>
  <c r="Z60" i="19"/>
  <c r="Z95" i="19"/>
  <c r="Z142" i="19"/>
  <c r="Z75" i="19"/>
  <c r="Z118" i="19"/>
  <c r="Z156" i="19"/>
  <c r="Z159" i="19"/>
  <c r="Z58" i="19"/>
  <c r="Z131" i="19"/>
  <c r="Z114" i="19"/>
  <c r="Z110" i="19"/>
  <c r="Z154" i="19"/>
  <c r="Z157" i="19"/>
  <c r="Z56" i="19"/>
  <c r="Z104" i="19"/>
  <c r="Z81" i="19"/>
  <c r="Z98" i="19"/>
  <c r="Z152" i="19"/>
  <c r="Z155" i="19"/>
  <c r="Z54" i="19"/>
  <c r="Z73" i="19"/>
  <c r="Z72" i="19"/>
  <c r="Z31" i="19"/>
  <c r="Z151" i="19"/>
  <c r="Z47" i="19"/>
  <c r="Z103" i="19"/>
  <c r="Z70" i="19"/>
  <c r="Z145" i="19"/>
  <c r="Z143" i="19"/>
  <c r="Z146" i="19"/>
  <c r="Z45" i="19"/>
  <c r="Z102" i="19"/>
  <c r="Z68" i="19"/>
  <c r="Z40" i="19"/>
  <c r="Z141" i="19"/>
  <c r="Z84" i="19"/>
  <c r="Z43" i="19"/>
  <c r="Z87" i="19"/>
  <c r="Z61" i="19"/>
  <c r="Z16" i="19"/>
  <c r="J90" i="19"/>
  <c r="J80" i="19"/>
  <c r="J61" i="19"/>
  <c r="J97" i="19"/>
  <c r="J12" i="19"/>
  <c r="J48" i="19"/>
  <c r="J27" i="19"/>
  <c r="J13" i="19"/>
  <c r="J146" i="19"/>
  <c r="J38" i="19"/>
  <c r="J15" i="19"/>
  <c r="J53" i="19"/>
  <c r="J14" i="19"/>
  <c r="K13" i="16"/>
  <c r="K152" i="16"/>
  <c r="K110" i="16"/>
  <c r="J66" i="18"/>
  <c r="J58" i="18"/>
  <c r="J55" i="18"/>
  <c r="J122" i="18"/>
  <c r="J61" i="18"/>
  <c r="J46" i="18"/>
  <c r="J19" i="18"/>
  <c r="J31" i="18"/>
  <c r="J41" i="18"/>
  <c r="J33" i="18"/>
  <c r="J11" i="19"/>
  <c r="K140" i="43"/>
  <c r="K142" i="45"/>
  <c r="K119" i="3"/>
  <c r="K28" i="16"/>
  <c r="J44" i="18"/>
  <c r="J29" i="18"/>
  <c r="Y93" i="18"/>
  <c r="Y58" i="18"/>
  <c r="K24" i="16"/>
  <c r="K30" i="16"/>
  <c r="W14" i="17"/>
  <c r="K144" i="16"/>
  <c r="J124" i="18"/>
  <c r="J87" i="18"/>
  <c r="J10" i="18"/>
  <c r="J127" i="19"/>
  <c r="K143" i="43"/>
  <c r="K141" i="43"/>
  <c r="K143" i="45"/>
  <c r="Y112" i="18"/>
  <c r="Y144" i="18"/>
  <c r="Y66" i="18"/>
  <c r="Y19" i="18"/>
  <c r="K38" i="16"/>
  <c r="J15" i="18"/>
  <c r="J33" i="19"/>
  <c r="K138" i="43"/>
  <c r="J102" i="18"/>
  <c r="K144" i="43"/>
  <c r="K138" i="45"/>
  <c r="K101" i="16"/>
  <c r="K14" i="16"/>
  <c r="Z125" i="19"/>
  <c r="J123" i="19"/>
  <c r="J68" i="19"/>
  <c r="J131" i="19"/>
  <c r="J74" i="19"/>
  <c r="J25" i="19"/>
  <c r="J20" i="19"/>
  <c r="K139" i="16"/>
  <c r="K53" i="16"/>
  <c r="K62" i="16"/>
  <c r="R13" i="18"/>
  <c r="R32" i="18"/>
  <c r="R42" i="18"/>
  <c r="R82" i="18"/>
  <c r="R26" i="18"/>
  <c r="R25" i="18"/>
  <c r="R57" i="18"/>
  <c r="R23" i="18"/>
  <c r="K141" i="45"/>
  <c r="K80" i="16"/>
  <c r="K66" i="16"/>
  <c r="J37" i="18"/>
  <c r="J70" i="18"/>
  <c r="K139" i="43"/>
  <c r="K137" i="45"/>
  <c r="K10" i="16"/>
  <c r="K146" i="16"/>
  <c r="K131" i="16"/>
  <c r="K74" i="16"/>
  <c r="J28" i="18"/>
  <c r="J52" i="18"/>
  <c r="K137" i="43"/>
  <c r="K142" i="43"/>
  <c r="Y12" i="18"/>
  <c r="Y10" i="18"/>
  <c r="Y17" i="18"/>
  <c r="Y47" i="18"/>
  <c r="Y46" i="18"/>
  <c r="K84" i="16"/>
  <c r="K87" i="16"/>
  <c r="K68" i="16"/>
  <c r="K69" i="16"/>
  <c r="K102" i="16"/>
  <c r="K27" i="16"/>
  <c r="K48" i="16"/>
  <c r="K32" i="16"/>
  <c r="K104" i="16"/>
  <c r="K129" i="16"/>
  <c r="K43" i="16"/>
  <c r="K137" i="16"/>
  <c r="K16" i="16"/>
  <c r="K26" i="16"/>
  <c r="K90" i="16"/>
  <c r="K154" i="16"/>
  <c r="Y14" i="18"/>
  <c r="K125" i="16"/>
  <c r="J47" i="18"/>
  <c r="J137" i="18"/>
  <c r="J139" i="18"/>
  <c r="J56" i="18"/>
  <c r="R14" i="18"/>
  <c r="J83" i="19"/>
  <c r="K144" i="45"/>
  <c r="J16" i="18"/>
  <c r="R11" i="18"/>
  <c r="J24" i="18"/>
  <c r="Z38" i="19"/>
  <c r="J96" i="19"/>
  <c r="J40" i="19"/>
  <c r="Y30" i="18"/>
  <c r="Y97" i="18"/>
  <c r="Y41" i="18"/>
  <c r="Y39" i="18"/>
  <c r="K117" i="16"/>
  <c r="K85" i="16"/>
  <c r="J104" i="19"/>
  <c r="K145" i="43"/>
  <c r="K139" i="45"/>
  <c r="K17" i="2"/>
  <c r="J17" i="2"/>
  <c r="K125" i="3"/>
  <c r="J125" i="3"/>
  <c r="K114" i="3"/>
  <c r="J114" i="3"/>
  <c r="K45" i="2"/>
  <c r="J45" i="2"/>
  <c r="J42" i="2"/>
  <c r="K42" i="2"/>
  <c r="K115" i="3"/>
  <c r="J115" i="3"/>
  <c r="K126" i="3"/>
  <c r="J126" i="3"/>
  <c r="K133" i="3"/>
  <c r="J133" i="3"/>
  <c r="K122" i="3"/>
  <c r="J122" i="3"/>
  <c r="K131" i="3"/>
  <c r="J131" i="3"/>
  <c r="K120" i="3"/>
  <c r="J120" i="3"/>
  <c r="K121" i="3"/>
  <c r="J121" i="3"/>
  <c r="K132" i="3"/>
  <c r="J132" i="3"/>
  <c r="K70" i="2"/>
  <c r="J70" i="2"/>
  <c r="L69" i="2"/>
  <c r="J69" i="2"/>
  <c r="K69" i="2"/>
  <c r="L72" i="2"/>
  <c r="K72" i="2"/>
  <c r="J72" i="2"/>
  <c r="K18" i="2"/>
  <c r="J18" i="2"/>
  <c r="K127" i="3"/>
  <c r="J127" i="3"/>
  <c r="K116" i="3"/>
  <c r="J116" i="3"/>
  <c r="K128" i="3"/>
  <c r="J128" i="3"/>
  <c r="J117" i="3"/>
  <c r="K117" i="3"/>
  <c r="K134" i="3"/>
  <c r="J134" i="3"/>
  <c r="J123" i="3"/>
  <c r="K123" i="3"/>
  <c r="K44" i="2"/>
  <c r="J44" i="2"/>
  <c r="K187" i="3"/>
  <c r="J187" i="3"/>
  <c r="J198" i="3"/>
  <c r="K198" i="3"/>
  <c r="K200" i="3"/>
  <c r="J200" i="3"/>
  <c r="K189" i="3"/>
  <c r="J189" i="3"/>
  <c r="K202" i="3"/>
  <c r="J202" i="3"/>
  <c r="K191" i="3"/>
  <c r="J191" i="3"/>
  <c r="K204" i="3"/>
  <c r="J204" i="3"/>
  <c r="K193" i="3"/>
  <c r="J193" i="3"/>
  <c r="K206" i="3"/>
  <c r="J206" i="3"/>
  <c r="K195" i="3"/>
  <c r="J195" i="3"/>
  <c r="L56" i="12"/>
  <c r="K56" i="12"/>
  <c r="J56" i="12"/>
  <c r="I56" i="12"/>
  <c r="T23" i="14"/>
  <c r="S23" i="14"/>
  <c r="L53" i="12"/>
  <c r="K53" i="12"/>
  <c r="J53" i="12"/>
  <c r="I53" i="12"/>
  <c r="H57" i="12"/>
  <c r="K146" i="13"/>
  <c r="I146" i="13"/>
  <c r="J146" i="13"/>
  <c r="I48" i="13"/>
  <c r="K48" i="13"/>
  <c r="J48" i="13"/>
  <c r="K160" i="13"/>
  <c r="J160" i="13"/>
  <c r="I160" i="13"/>
  <c r="K132" i="13"/>
  <c r="J132" i="13"/>
  <c r="I132" i="13"/>
  <c r="K118" i="13"/>
  <c r="J118" i="13"/>
  <c r="I118" i="13"/>
  <c r="K104" i="13"/>
  <c r="J104" i="13"/>
  <c r="I104" i="13"/>
  <c r="K20" i="13"/>
  <c r="I20" i="13"/>
  <c r="J20" i="13"/>
  <c r="L54" i="12"/>
  <c r="K54" i="12"/>
  <c r="J54" i="12"/>
  <c r="I54" i="12"/>
  <c r="J90" i="13"/>
  <c r="I90" i="13"/>
  <c r="K90" i="13"/>
  <c r="M133" i="15"/>
  <c r="L133" i="15"/>
  <c r="K133" i="15"/>
  <c r="J133" i="15"/>
  <c r="I133" i="15"/>
  <c r="K161" i="15"/>
  <c r="J161" i="15"/>
  <c r="I161" i="15"/>
  <c r="L161" i="15"/>
  <c r="M161" i="15"/>
  <c r="M147" i="15"/>
  <c r="L147" i="15"/>
  <c r="K147" i="15"/>
  <c r="J147" i="15"/>
  <c r="I147" i="15"/>
  <c r="M119" i="15"/>
  <c r="L119" i="15"/>
  <c r="K119" i="15"/>
  <c r="J119" i="15"/>
  <c r="I119" i="15"/>
  <c r="J35" i="15"/>
  <c r="I35" i="15"/>
  <c r="M35" i="15"/>
  <c r="K35" i="15"/>
  <c r="L35" i="15"/>
  <c r="M21" i="15"/>
  <c r="L21" i="15"/>
  <c r="K21" i="15"/>
  <c r="J21" i="15"/>
  <c r="I21" i="15"/>
  <c r="K49" i="15"/>
  <c r="J49" i="15"/>
  <c r="I49" i="15"/>
  <c r="M49" i="15"/>
  <c r="L49" i="15"/>
  <c r="L63" i="15"/>
  <c r="K63" i="15"/>
  <c r="J63" i="15"/>
  <c r="I63" i="15"/>
  <c r="M63" i="15"/>
  <c r="M77" i="15"/>
  <c r="L77" i="15"/>
  <c r="K77" i="15"/>
  <c r="J77" i="15"/>
  <c r="I77" i="15"/>
  <c r="L105" i="15"/>
  <c r="K105" i="15"/>
  <c r="M105" i="15"/>
  <c r="J105" i="15"/>
  <c r="I105" i="15"/>
  <c r="M91" i="15"/>
  <c r="L91" i="15"/>
  <c r="K91" i="15"/>
  <c r="J91" i="15"/>
  <c r="I91" i="15"/>
  <c r="K149" i="16"/>
  <c r="J149" i="16"/>
  <c r="I149" i="16"/>
  <c r="K119" i="16"/>
  <c r="J119" i="16"/>
  <c r="I119" i="16"/>
  <c r="K93" i="16"/>
  <c r="J93" i="16"/>
  <c r="I93" i="16"/>
  <c r="K63" i="16"/>
  <c r="J63" i="16"/>
  <c r="I63" i="16"/>
  <c r="K121" i="16"/>
  <c r="J121" i="16"/>
  <c r="I121" i="16"/>
  <c r="J91" i="16"/>
  <c r="K91" i="16"/>
  <c r="I91" i="16"/>
  <c r="K161" i="16"/>
  <c r="J161" i="16"/>
  <c r="I161" i="16"/>
  <c r="W21" i="17"/>
  <c r="V21" i="17"/>
  <c r="U21" i="17"/>
  <c r="K49" i="16"/>
  <c r="J49" i="16"/>
  <c r="I49" i="16"/>
  <c r="J107" i="16"/>
  <c r="I107" i="16"/>
  <c r="K107" i="16"/>
  <c r="K51" i="16"/>
  <c r="J51" i="16"/>
  <c r="I51" i="16"/>
  <c r="Y132" i="18"/>
  <c r="X132" i="18"/>
  <c r="Y106" i="18"/>
  <c r="X106" i="18"/>
  <c r="Y90" i="18"/>
  <c r="X90" i="18"/>
  <c r="X146" i="18"/>
  <c r="Y146" i="18"/>
  <c r="Y120" i="18"/>
  <c r="X120" i="18"/>
  <c r="Y104" i="18"/>
  <c r="X104" i="18"/>
  <c r="Y78" i="18"/>
  <c r="X78" i="18"/>
  <c r="X160" i="18"/>
  <c r="Y160" i="18"/>
  <c r="X134" i="18"/>
  <c r="Y134" i="18"/>
  <c r="Y50" i="18"/>
  <c r="X50" i="18"/>
  <c r="X34" i="18"/>
  <c r="Y34" i="18"/>
  <c r="Y8" i="18"/>
  <c r="X8" i="18"/>
  <c r="Y118" i="18"/>
  <c r="X118" i="18"/>
  <c r="Y76" i="18"/>
  <c r="X76" i="18"/>
  <c r="Y64" i="18"/>
  <c r="X64" i="18"/>
  <c r="Y48" i="18"/>
  <c r="X48" i="18"/>
  <c r="Y62" i="18"/>
  <c r="X62" i="18"/>
  <c r="Y36" i="18"/>
  <c r="X36" i="18"/>
  <c r="Y148" i="18"/>
  <c r="X148" i="18"/>
  <c r="Y92" i="18"/>
  <c r="X92" i="18"/>
  <c r="Y22" i="18"/>
  <c r="X22" i="18"/>
  <c r="K9" i="16"/>
  <c r="J9" i="16"/>
  <c r="I9" i="16"/>
  <c r="J79" i="16"/>
  <c r="I79" i="16"/>
  <c r="K79" i="16"/>
  <c r="K23" i="16"/>
  <c r="J23" i="16"/>
  <c r="I23" i="16"/>
  <c r="I105" i="16"/>
  <c r="K105" i="16"/>
  <c r="J105" i="16"/>
  <c r="W9" i="17"/>
  <c r="V9" i="17"/>
  <c r="U9" i="17"/>
  <c r="J147" i="16"/>
  <c r="I147" i="16"/>
  <c r="K147" i="16"/>
  <c r="K135" i="16"/>
  <c r="J135" i="16"/>
  <c r="I135" i="16"/>
  <c r="J21" i="16"/>
  <c r="I21" i="16"/>
  <c r="K21" i="16"/>
  <c r="K37" i="16"/>
  <c r="J37" i="16"/>
  <c r="I37" i="16"/>
  <c r="K133" i="16"/>
  <c r="I133" i="16"/>
  <c r="J133" i="16"/>
  <c r="K65" i="16"/>
  <c r="J65" i="16"/>
  <c r="I65" i="16"/>
  <c r="J90" i="18"/>
  <c r="I90" i="18"/>
  <c r="J146" i="18"/>
  <c r="I146" i="18"/>
  <c r="J120" i="18"/>
  <c r="I120" i="18"/>
  <c r="I104" i="18"/>
  <c r="J104" i="18"/>
  <c r="J78" i="18"/>
  <c r="I78" i="18"/>
  <c r="J160" i="18"/>
  <c r="I160" i="18"/>
  <c r="J134" i="18"/>
  <c r="I134" i="18"/>
  <c r="J118" i="18"/>
  <c r="I118" i="18"/>
  <c r="I92" i="18"/>
  <c r="J92" i="18"/>
  <c r="J148" i="18"/>
  <c r="I148" i="18"/>
  <c r="J76" i="18"/>
  <c r="I76" i="18"/>
  <c r="J34" i="18"/>
  <c r="I34" i="18"/>
  <c r="J8" i="18"/>
  <c r="I8" i="18"/>
  <c r="J64" i="18"/>
  <c r="I64" i="18"/>
  <c r="J48" i="18"/>
  <c r="I48" i="18"/>
  <c r="J22" i="18"/>
  <c r="I22" i="18"/>
  <c r="J106" i="18"/>
  <c r="I106" i="18"/>
  <c r="J62" i="18"/>
  <c r="I62" i="18"/>
  <c r="I36" i="18"/>
  <c r="J36" i="18"/>
  <c r="J132" i="18"/>
  <c r="I132" i="18"/>
  <c r="J50" i="18"/>
  <c r="I50" i="18"/>
  <c r="K149" i="17"/>
  <c r="J149" i="17"/>
  <c r="I149" i="17"/>
  <c r="J20" i="18"/>
  <c r="I20" i="18"/>
  <c r="K21" i="17"/>
  <c r="I21" i="17"/>
  <c r="J21" i="17"/>
  <c r="K37" i="17"/>
  <c r="J37" i="17"/>
  <c r="I37" i="17"/>
  <c r="K63" i="17"/>
  <c r="J63" i="17"/>
  <c r="I63" i="17"/>
  <c r="K147" i="17"/>
  <c r="J147" i="17"/>
  <c r="I147" i="17"/>
  <c r="R160" i="18"/>
  <c r="Q160" i="18"/>
  <c r="R134" i="18"/>
  <c r="Q134" i="18"/>
  <c r="Q118" i="18"/>
  <c r="R118" i="18"/>
  <c r="R92" i="18"/>
  <c r="Q92" i="18"/>
  <c r="Q148" i="18"/>
  <c r="R148" i="18"/>
  <c r="Q132" i="18"/>
  <c r="R132" i="18"/>
  <c r="R106" i="18"/>
  <c r="Q106" i="18"/>
  <c r="R146" i="18"/>
  <c r="Q146" i="18"/>
  <c r="R120" i="18"/>
  <c r="Q120" i="18"/>
  <c r="R62" i="18"/>
  <c r="Q62" i="18"/>
  <c r="Q36" i="18"/>
  <c r="R36" i="18"/>
  <c r="R20" i="18"/>
  <c r="Q20" i="18"/>
  <c r="R78" i="18"/>
  <c r="Q78" i="18"/>
  <c r="R50" i="18"/>
  <c r="Q50" i="18"/>
  <c r="R76" i="18"/>
  <c r="Q76" i="18"/>
  <c r="R64" i="18"/>
  <c r="Q64" i="18"/>
  <c r="R48" i="18"/>
  <c r="Q48" i="18"/>
  <c r="K161" i="17"/>
  <c r="J161" i="17"/>
  <c r="I161" i="17"/>
  <c r="I135" i="17"/>
  <c r="K135" i="17"/>
  <c r="J135" i="17"/>
  <c r="K105" i="17"/>
  <c r="J105" i="17"/>
  <c r="I105" i="17"/>
  <c r="K79" i="17"/>
  <c r="J79" i="17"/>
  <c r="I79" i="17"/>
  <c r="K51" i="17"/>
  <c r="J51" i="17"/>
  <c r="I51" i="17"/>
  <c r="K35" i="17"/>
  <c r="J35" i="17"/>
  <c r="I35" i="17"/>
  <c r="R8" i="18"/>
  <c r="Q8" i="18"/>
  <c r="R104" i="18"/>
  <c r="Q104" i="18"/>
  <c r="S149" i="19"/>
  <c r="Y149" i="19" s="1"/>
  <c r="S147" i="19"/>
  <c r="S121" i="19"/>
  <c r="S133" i="19"/>
  <c r="S79" i="19"/>
  <c r="S119" i="19"/>
  <c r="Y119" i="19" s="1"/>
  <c r="S105" i="19"/>
  <c r="S135" i="19"/>
  <c r="Y135" i="19" s="1"/>
  <c r="S77" i="19"/>
  <c r="S51" i="19"/>
  <c r="Y51" i="19" s="1"/>
  <c r="S49" i="19"/>
  <c r="Y49" i="19" s="1"/>
  <c r="S23" i="19"/>
  <c r="S91" i="19"/>
  <c r="S107" i="19"/>
  <c r="S63" i="19"/>
  <c r="Y63" i="19" s="1"/>
  <c r="S65" i="19"/>
  <c r="S21" i="19"/>
  <c r="Y21" i="19" s="1"/>
  <c r="S37" i="19"/>
  <c r="Y37" i="19" s="1"/>
  <c r="S161" i="19"/>
  <c r="S9" i="19"/>
  <c r="Y9" i="19" s="1"/>
  <c r="S35" i="19"/>
  <c r="Y35" i="19" s="1"/>
  <c r="S93" i="19"/>
  <c r="X149" i="19"/>
  <c r="X147" i="19"/>
  <c r="Y147" i="19"/>
  <c r="Y121" i="19"/>
  <c r="X121" i="19"/>
  <c r="X119" i="19"/>
  <c r="X135" i="19"/>
  <c r="Y77" i="19"/>
  <c r="X77" i="19"/>
  <c r="X51" i="19"/>
  <c r="X49" i="19"/>
  <c r="Y23" i="19"/>
  <c r="X23" i="19"/>
  <c r="X91" i="19"/>
  <c r="Y91" i="19"/>
  <c r="Y93" i="19"/>
  <c r="X93" i="19"/>
  <c r="X107" i="19"/>
  <c r="Y107" i="19"/>
  <c r="X65" i="19"/>
  <c r="Y65" i="19"/>
  <c r="Y161" i="19"/>
  <c r="X161" i="19"/>
  <c r="Y133" i="19"/>
  <c r="X133" i="19"/>
  <c r="Y79" i="19"/>
  <c r="X79" i="19"/>
  <c r="Y105" i="19"/>
  <c r="X105" i="19"/>
  <c r="P121" i="19"/>
  <c r="R121" i="19"/>
  <c r="D149" i="19"/>
  <c r="D147" i="19"/>
  <c r="D121" i="19"/>
  <c r="D161" i="19"/>
  <c r="D91" i="19"/>
  <c r="D107" i="19"/>
  <c r="D93" i="19"/>
  <c r="D77" i="19"/>
  <c r="D51" i="19"/>
  <c r="D49" i="19"/>
  <c r="D23" i="19"/>
  <c r="D133" i="19"/>
  <c r="D135" i="19"/>
  <c r="D119" i="19"/>
  <c r="D79" i="19"/>
  <c r="D65" i="19"/>
  <c r="D63" i="19"/>
  <c r="D21" i="19"/>
  <c r="D35" i="19"/>
  <c r="D105" i="19"/>
  <c r="D9" i="19"/>
  <c r="D37" i="19"/>
  <c r="C7" i="19"/>
  <c r="I7" i="19" s="1"/>
  <c r="X35" i="19"/>
  <c r="J149" i="19"/>
  <c r="H149" i="19"/>
  <c r="H147" i="19"/>
  <c r="J147" i="19"/>
  <c r="J121" i="19"/>
  <c r="H121" i="19"/>
  <c r="H119" i="19"/>
  <c r="J119" i="19"/>
  <c r="J161" i="19"/>
  <c r="H161" i="19"/>
  <c r="H107" i="19"/>
  <c r="J107" i="19"/>
  <c r="J93" i="19"/>
  <c r="H93" i="19"/>
  <c r="J77" i="19"/>
  <c r="H77" i="19"/>
  <c r="J51" i="19"/>
  <c r="H51" i="19"/>
  <c r="H49" i="19"/>
  <c r="J49" i="19"/>
  <c r="J23" i="19"/>
  <c r="H23" i="19"/>
  <c r="J133" i="19"/>
  <c r="H133" i="19"/>
  <c r="H135" i="19"/>
  <c r="J135" i="19"/>
  <c r="J79" i="19"/>
  <c r="H79" i="19"/>
  <c r="H65" i="19"/>
  <c r="J65" i="19"/>
  <c r="J105" i="19"/>
  <c r="H105" i="19"/>
  <c r="X9" i="19"/>
  <c r="H91" i="19"/>
  <c r="J91" i="19"/>
  <c r="H9" i="19"/>
  <c r="J9" i="19"/>
  <c r="X37" i="19"/>
  <c r="P51" i="19"/>
  <c r="R51" i="19"/>
  <c r="J63" i="19"/>
  <c r="H63" i="19"/>
  <c r="M161" i="19"/>
  <c r="M135" i="19"/>
  <c r="M133" i="19"/>
  <c r="M107" i="19"/>
  <c r="M149" i="19"/>
  <c r="M121" i="19"/>
  <c r="M65" i="19"/>
  <c r="M63" i="19"/>
  <c r="M37" i="19"/>
  <c r="M35" i="19"/>
  <c r="M119" i="19"/>
  <c r="M79" i="19"/>
  <c r="M105" i="19"/>
  <c r="M147" i="19"/>
  <c r="M91" i="19"/>
  <c r="M77" i="19"/>
  <c r="M51" i="19"/>
  <c r="M93" i="19"/>
  <c r="L7" i="19"/>
  <c r="M21" i="19"/>
  <c r="M49" i="19"/>
  <c r="M9" i="19"/>
  <c r="M23" i="19"/>
  <c r="P161" i="19"/>
  <c r="R161" i="19"/>
  <c r="R135" i="19"/>
  <c r="P135" i="19"/>
  <c r="P133" i="19"/>
  <c r="R133" i="19"/>
  <c r="R107" i="19"/>
  <c r="P107" i="19"/>
  <c r="R65" i="19"/>
  <c r="P65" i="19"/>
  <c r="P63" i="19"/>
  <c r="R63" i="19"/>
  <c r="R37" i="19"/>
  <c r="P37" i="19"/>
  <c r="P35" i="19"/>
  <c r="R35" i="19"/>
  <c r="R119" i="19"/>
  <c r="P119" i="19"/>
  <c r="R79" i="19"/>
  <c r="P79" i="19"/>
  <c r="P149" i="19"/>
  <c r="R149" i="19"/>
  <c r="P105" i="19"/>
  <c r="R105" i="19"/>
  <c r="R147" i="19"/>
  <c r="P147" i="19"/>
  <c r="R77" i="19"/>
  <c r="P77" i="19"/>
  <c r="P93" i="19"/>
  <c r="R93" i="19"/>
  <c r="X21" i="19"/>
  <c r="I148" i="21"/>
  <c r="H148" i="21"/>
  <c r="I64" i="21"/>
  <c r="H64" i="21"/>
  <c r="I162" i="21"/>
  <c r="H162" i="21"/>
  <c r="I120" i="21"/>
  <c r="H120" i="21"/>
  <c r="H78" i="21"/>
  <c r="I78" i="21"/>
  <c r="I134" i="21"/>
  <c r="H134" i="21"/>
  <c r="I36" i="21"/>
  <c r="H36" i="21"/>
  <c r="I92" i="21"/>
  <c r="H92" i="21"/>
  <c r="I50" i="21"/>
  <c r="H50" i="21"/>
  <c r="I106" i="21"/>
  <c r="H106" i="21"/>
  <c r="Q22" i="21"/>
  <c r="R22" i="21"/>
  <c r="I22" i="21"/>
  <c r="H22" i="21"/>
  <c r="V21" i="22"/>
  <c r="X21" i="22"/>
  <c r="W21" i="22"/>
  <c r="K63" i="22"/>
  <c r="J63" i="22"/>
  <c r="L63" i="22"/>
  <c r="K147" i="22"/>
  <c r="L147" i="22"/>
  <c r="J147" i="22"/>
  <c r="L77" i="22"/>
  <c r="K77" i="22"/>
  <c r="J77" i="22"/>
  <c r="L119" i="22"/>
  <c r="K119" i="22"/>
  <c r="J119" i="22"/>
  <c r="K105" i="22"/>
  <c r="L105" i="22"/>
  <c r="J105" i="22"/>
  <c r="K91" i="22"/>
  <c r="L91" i="22"/>
  <c r="J91" i="22"/>
  <c r="K161" i="22"/>
  <c r="L161" i="22"/>
  <c r="J161" i="22"/>
  <c r="L21" i="22"/>
  <c r="J21" i="22"/>
  <c r="K21" i="22"/>
  <c r="K62" i="26"/>
  <c r="J62" i="26"/>
  <c r="I62" i="26"/>
  <c r="K104" i="26"/>
  <c r="J104" i="26"/>
  <c r="I104" i="26"/>
  <c r="K146" i="26"/>
  <c r="J146" i="26"/>
  <c r="I146" i="26"/>
  <c r="K90" i="26"/>
  <c r="J90" i="26"/>
  <c r="I90" i="26"/>
  <c r="I132" i="26"/>
  <c r="K132" i="26"/>
  <c r="J132" i="26"/>
  <c r="K118" i="26"/>
  <c r="J118" i="26"/>
  <c r="I118" i="26"/>
  <c r="K34" i="26"/>
  <c r="J34" i="26"/>
  <c r="I34" i="26"/>
  <c r="K160" i="26"/>
  <c r="J160" i="26"/>
  <c r="I160" i="26"/>
  <c r="K48" i="26"/>
  <c r="I48" i="26"/>
  <c r="J48" i="26"/>
  <c r="K20" i="27"/>
  <c r="J20" i="27"/>
  <c r="I20" i="27"/>
  <c r="K146" i="27"/>
  <c r="J146" i="27"/>
  <c r="I146" i="27"/>
  <c r="I90" i="27"/>
  <c r="K90" i="27"/>
  <c r="J90" i="27"/>
  <c r="K132" i="27"/>
  <c r="J132" i="27"/>
  <c r="I132" i="27"/>
  <c r="K160" i="27"/>
  <c r="J160" i="27"/>
  <c r="I160" i="27"/>
  <c r="I34" i="27"/>
  <c r="K34" i="27"/>
  <c r="J34" i="27"/>
  <c r="K48" i="27"/>
  <c r="J48" i="27"/>
  <c r="I48" i="27"/>
  <c r="I76" i="27"/>
  <c r="K76" i="27"/>
  <c r="J76" i="27"/>
  <c r="K62" i="27"/>
  <c r="J62" i="27"/>
  <c r="I62" i="27"/>
  <c r="J118" i="27"/>
  <c r="I118" i="27"/>
  <c r="K118" i="27"/>
  <c r="M146" i="28"/>
  <c r="L146" i="28"/>
  <c r="K146" i="28"/>
  <c r="J146" i="28"/>
  <c r="I146" i="28"/>
  <c r="M160" i="28"/>
  <c r="K160" i="28"/>
  <c r="L160" i="28"/>
  <c r="J160" i="28"/>
  <c r="I160" i="28"/>
  <c r="M62" i="28"/>
  <c r="L62" i="28"/>
  <c r="K62" i="28"/>
  <c r="J62" i="28"/>
  <c r="I62" i="28"/>
  <c r="M76" i="28"/>
  <c r="L76" i="28"/>
  <c r="K76" i="28"/>
  <c r="J76" i="28"/>
  <c r="I76" i="28"/>
  <c r="M90" i="28"/>
  <c r="L90" i="28"/>
  <c r="K90" i="28"/>
  <c r="J90" i="28"/>
  <c r="I90" i="28"/>
  <c r="M104" i="28"/>
  <c r="L104" i="28"/>
  <c r="K104" i="28"/>
  <c r="J104" i="28"/>
  <c r="I104" i="28"/>
  <c r="M118" i="28"/>
  <c r="L118" i="28"/>
  <c r="K118" i="28"/>
  <c r="J118" i="28"/>
  <c r="I118" i="28"/>
  <c r="M132" i="28"/>
  <c r="K132" i="28"/>
  <c r="L132" i="28"/>
  <c r="J132" i="28"/>
  <c r="I132" i="28"/>
  <c r="M48" i="28"/>
  <c r="L48" i="28"/>
  <c r="K48" i="28"/>
  <c r="J48" i="28"/>
  <c r="I48" i="28"/>
  <c r="L34" i="28"/>
  <c r="M34" i="28"/>
  <c r="K34" i="28"/>
  <c r="I34" i="28"/>
  <c r="J34" i="28"/>
  <c r="M20" i="28"/>
  <c r="L20" i="28"/>
  <c r="K20" i="28"/>
  <c r="J20" i="28"/>
  <c r="I20" i="28"/>
  <c r="I146" i="43"/>
  <c r="H146" i="43"/>
  <c r="K146" i="43" s="1"/>
  <c r="G146" i="43"/>
  <c r="N16" i="43"/>
  <c r="L16" i="43"/>
  <c r="M16" i="43"/>
  <c r="I146" i="45"/>
  <c r="H146" i="45"/>
  <c r="K146" i="45" s="1"/>
  <c r="G146" i="45"/>
  <c r="N146" i="45"/>
  <c r="M146" i="45"/>
  <c r="L146" i="45"/>
  <c r="O146" i="45"/>
  <c r="E95" i="51" l="1"/>
  <c r="E73" i="51"/>
  <c r="E51" i="51"/>
  <c r="E29" i="51"/>
  <c r="E253" i="51"/>
  <c r="E227" i="51"/>
  <c r="E139" i="51"/>
  <c r="E205" i="51"/>
  <c r="E183" i="51"/>
  <c r="E161" i="51"/>
  <c r="C7" i="51"/>
  <c r="E117" i="51"/>
  <c r="F8" i="51"/>
  <c r="C227" i="49"/>
  <c r="D228" i="49" s="1"/>
  <c r="C139" i="49"/>
  <c r="D140" i="49" s="1"/>
  <c r="C271" i="49"/>
  <c r="D272" i="49" s="1"/>
  <c r="C183" i="49"/>
  <c r="D184" i="49" s="1"/>
  <c r="C73" i="49"/>
  <c r="D74" i="49" s="1"/>
  <c r="C95" i="49"/>
  <c r="D96" i="49" s="1"/>
  <c r="C249" i="49"/>
  <c r="D250" i="49" s="1"/>
  <c r="C161" i="49"/>
  <c r="D162" i="49" s="1"/>
  <c r="D8" i="49"/>
  <c r="C29" i="49"/>
  <c r="D30" i="49" s="1"/>
  <c r="C205" i="49"/>
  <c r="D206" i="49" s="1"/>
  <c r="C117" i="49"/>
  <c r="D118" i="49" s="1"/>
  <c r="C51" i="49"/>
  <c r="D52" i="49" s="1"/>
  <c r="L161" i="19"/>
  <c r="L135" i="19"/>
  <c r="L133" i="19"/>
  <c r="L121" i="19"/>
  <c r="L65" i="19"/>
  <c r="L63" i="19"/>
  <c r="L37" i="19"/>
  <c r="L35" i="19"/>
  <c r="L149" i="19"/>
  <c r="L119" i="19"/>
  <c r="L79" i="19"/>
  <c r="L105" i="19"/>
  <c r="L147" i="19"/>
  <c r="L91" i="19"/>
  <c r="L77" i="19"/>
  <c r="L51" i="19"/>
  <c r="L9" i="19"/>
  <c r="K7" i="19"/>
  <c r="Q7" i="19" s="1"/>
  <c r="L21" i="19"/>
  <c r="L107" i="19"/>
  <c r="L49" i="19"/>
  <c r="L23" i="19"/>
  <c r="L93" i="19"/>
  <c r="C149" i="19"/>
  <c r="I149" i="19" s="1"/>
  <c r="C147" i="19"/>
  <c r="I147" i="19" s="1"/>
  <c r="C121" i="19"/>
  <c r="I121" i="19" s="1"/>
  <c r="C161" i="19"/>
  <c r="I161" i="19" s="1"/>
  <c r="C91" i="19"/>
  <c r="I91" i="19" s="1"/>
  <c r="C107" i="19"/>
  <c r="I107" i="19" s="1"/>
  <c r="C93" i="19"/>
  <c r="I93" i="19" s="1"/>
  <c r="C77" i="19"/>
  <c r="I77" i="19" s="1"/>
  <c r="C51" i="19"/>
  <c r="I51" i="19" s="1"/>
  <c r="C49" i="19"/>
  <c r="I49" i="19" s="1"/>
  <c r="C133" i="19"/>
  <c r="I133" i="19" s="1"/>
  <c r="C135" i="19"/>
  <c r="I135" i="19" s="1"/>
  <c r="C119" i="19"/>
  <c r="I119" i="19" s="1"/>
  <c r="C105" i="19"/>
  <c r="I105" i="19" s="1"/>
  <c r="C23" i="19"/>
  <c r="I23" i="19" s="1"/>
  <c r="C21" i="19"/>
  <c r="I21" i="19" s="1"/>
  <c r="C35" i="19"/>
  <c r="I35" i="19" s="1"/>
  <c r="C63" i="19"/>
  <c r="I63" i="19" s="1"/>
  <c r="C65" i="19"/>
  <c r="I65" i="19" s="1"/>
  <c r="C9" i="19"/>
  <c r="I9" i="19" s="1"/>
  <c r="C37" i="19"/>
  <c r="I37" i="19" s="1"/>
  <c r="C79" i="19"/>
  <c r="I79" i="19" s="1"/>
  <c r="L57" i="12"/>
  <c r="K57" i="12"/>
  <c r="J57" i="12"/>
  <c r="I57" i="12"/>
  <c r="C117" i="51" l="1"/>
  <c r="D118" i="51" s="1"/>
  <c r="D8" i="51"/>
  <c r="C95" i="51"/>
  <c r="D96" i="51" s="1"/>
  <c r="C73" i="51"/>
  <c r="D74" i="51" s="1"/>
  <c r="C51" i="51"/>
  <c r="D52" i="51" s="1"/>
  <c r="C29" i="51"/>
  <c r="D30" i="51" s="1"/>
  <c r="C139" i="51"/>
  <c r="D140" i="51" s="1"/>
  <c r="C253" i="51"/>
  <c r="D254" i="51" s="1"/>
  <c r="C161" i="51"/>
  <c r="D162" i="51" s="1"/>
  <c r="C227" i="51"/>
  <c r="D228" i="51" s="1"/>
  <c r="C205" i="51"/>
  <c r="D206" i="51" s="1"/>
  <c r="C183" i="51"/>
  <c r="D184" i="51" s="1"/>
  <c r="K161" i="19"/>
  <c r="Q161" i="19" s="1"/>
  <c r="K135" i="19"/>
  <c r="Q135" i="19" s="1"/>
  <c r="K133" i="19"/>
  <c r="Q133" i="19" s="1"/>
  <c r="K121" i="19"/>
  <c r="Q121" i="19" s="1"/>
  <c r="K65" i="19"/>
  <c r="Q65" i="19" s="1"/>
  <c r="K63" i="19"/>
  <c r="Q63" i="19" s="1"/>
  <c r="K37" i="19"/>
  <c r="Q37" i="19" s="1"/>
  <c r="K35" i="19"/>
  <c r="Q35" i="19" s="1"/>
  <c r="K149" i="19"/>
  <c r="Q149" i="19" s="1"/>
  <c r="K119" i="19"/>
  <c r="Q119" i="19" s="1"/>
  <c r="K79" i="19"/>
  <c r="Q79" i="19" s="1"/>
  <c r="K147" i="19"/>
  <c r="Q147" i="19" s="1"/>
  <c r="K91" i="19"/>
  <c r="Q91" i="19" s="1"/>
  <c r="K107" i="19"/>
  <c r="Q107" i="19" s="1"/>
  <c r="K93" i="19"/>
  <c r="Q93" i="19" s="1"/>
  <c r="K9" i="19"/>
  <c r="Q9" i="19" s="1"/>
  <c r="K51" i="19"/>
  <c r="Q51" i="19" s="1"/>
  <c r="K105" i="19"/>
  <c r="Q105" i="19" s="1"/>
  <c r="K77" i="19"/>
  <c r="Q77" i="19" s="1"/>
  <c r="K21" i="19"/>
  <c r="Q21" i="19" s="1"/>
  <c r="K49" i="19"/>
  <c r="Q49" i="19" s="1"/>
  <c r="K23" i="19"/>
  <c r="Q23" i="19" s="1"/>
</calcChain>
</file>

<file path=xl/sharedStrings.xml><?xml version="1.0" encoding="utf-8"?>
<sst xmlns="http://schemas.openxmlformats.org/spreadsheetml/2006/main" count="5717" uniqueCount="313">
  <si>
    <t>Total</t>
  </si>
  <si>
    <t>Estadísticas indicadores alojativos</t>
  </si>
  <si>
    <t>Comparativa Canarias e islas</t>
  </si>
  <si>
    <t>Resumen indicadores municipios Tenerife</t>
  </si>
  <si>
    <t>Oferta alojativa en funcionamiento</t>
  </si>
  <si>
    <t>Plazas alojativas Tenerife y municipios</t>
  </si>
  <si>
    <t>Establecimientos alojativos Tenerife y municipios</t>
  </si>
  <si>
    <t>Indicadores alojativos hotel + apartamento</t>
  </si>
  <si>
    <t>Viajeros entrados</t>
  </si>
  <si>
    <t>Viajeros peninsulares entrados en los hoteles y apartamentos de Tenerife por municipio de alojamiento - acumulado</t>
  </si>
  <si>
    <t xml:space="preserve">Viajeros entrados en los establecimientos alojativos de Tenerife por municipio y categoría </t>
  </si>
  <si>
    <t>Viajeros entrados en los establecimientos alojativos de Tenerife según lugar de residencia y municipio de alojamiento - año</t>
  </si>
  <si>
    <t>Viajeros entrados en los establecimientos alojativos de Tenerife según lugar de residencia y municipio de alojamiento - mes</t>
  </si>
  <si>
    <t>Viajeros entrados en los establecimientos alojativos de Tenerife según lugar de residencia y municipio de alojamiento - acumulado</t>
  </si>
  <si>
    <t>Viajeros entrados en los hoteles de Tenerife según lugar de residencia y municipio de alojamiento - acumulado</t>
  </si>
  <si>
    <t>Viajeros entrados en los apartamentos de Tenerife según lugar de residencia y municipio de alojamiento - acumulado</t>
  </si>
  <si>
    <t>Viajeros entrados en los establecimientos hoteleros de Tenerife según lugar de residencia, categoría y municipio del alojamiento - acumulado</t>
  </si>
  <si>
    <t>Viajeros entrados en los establecimientos hoteleros de Tenerife según lugar de residencia, categoría y municipio del alojamiento - año</t>
  </si>
  <si>
    <t>Viajeros alojados</t>
  </si>
  <si>
    <t>Viajeros alojados en los establecimientos alojativos de Tenerife según lugar de residencia y municipio de alojamiento - mes</t>
  </si>
  <si>
    <t>Viajeros alojados en los establecimientos alojativos de Tenerife según lugar de residencia y municipio de alojamiento - acumulado</t>
  </si>
  <si>
    <t>Pernoctaciones</t>
  </si>
  <si>
    <t>Estancia media</t>
  </si>
  <si>
    <t>Tasa de ocupación</t>
  </si>
  <si>
    <t>indicadores rentabilidad</t>
  </si>
  <si>
    <t xml:space="preserve">Indicadores de rentabilidad:Tarifa media diaria (ADR); ingresos por habitación disponible (RevPAR); ingresos totales en los establecimientos alojativos Tenerife por municipio  (hotel + apartamento) </t>
  </si>
  <si>
    <t>Tarifa media diaria (ADR) Tenerife y municipios</t>
  </si>
  <si>
    <t>Ingresos medios por habitación (RevPar) Tenerife y municipios</t>
  </si>
  <si>
    <t>Viajeros españoles entrados en hoteles y apartamentos</t>
  </si>
  <si>
    <t>Viajeros españoles entrados en los hoteles y apartamentos de Tenerife por municipio de alojamiento</t>
  </si>
  <si>
    <t>Viajeros peninsulares entrados en los hoteles y apartamentos de Tenerife por municipio de alojamiento</t>
  </si>
  <si>
    <t>Viajeros canarios entrados en los hoteles y apartamentos de Tenerife por municipio de alojamiento</t>
  </si>
  <si>
    <t>total</t>
  </si>
  <si>
    <t>hoteleros</t>
  </si>
  <si>
    <t>apartamentos</t>
  </si>
  <si>
    <t>Viajeros alojados*</t>
  </si>
  <si>
    <t>Ocupación por plaza</t>
  </si>
  <si>
    <t>Plazas estimadas en el mes</t>
  </si>
  <si>
    <t>*dato publicado ISTAC
FUENTE: Encuestas Alojamientos Turísticos (ISTAC). ELABORACIÓN: Turismo de Tenerife.</t>
  </si>
  <si>
    <t>Plazas estimadas
promedio</t>
  </si>
  <si>
    <t>*dato calculado viajeros alodos periodo=viajeros alojados en enero + SUM(viajeros entrados febrero hasta mes actual)
FUENTE: Encuestas Alojamientos Turísticos (ISTAC). ELABORACIÓN: Turismo de Tenerife.</t>
  </si>
  <si>
    <t>Plazas estimadas
Promedio anual</t>
  </si>
  <si>
    <t>Nota: el ISTAC solo oferce información de desagregada de los municipios que figuran en las tablas. 
Para cualquier consulta contactar con ISTAC a través del correo consultas.istac@gobiernodecanarias.org</t>
  </si>
  <si>
    <t>Resumen de indicadores turísticos municipios turísticos de Tenerife</t>
  </si>
  <si>
    <t>INDICADORES TURÍSTICOS</t>
  </si>
  <si>
    <t>Tenerife</t>
  </si>
  <si>
    <t>Adeje</t>
  </si>
  <si>
    <t>Arona</t>
  </si>
  <si>
    <t>Granadilla de Abona</t>
  </si>
  <si>
    <t>Guía de Isora</t>
  </si>
  <si>
    <t>Puerto de la Cruz</t>
  </si>
  <si>
    <t>San Cristóbal de La Laguna</t>
  </si>
  <si>
    <t>San Miguel de Abona</t>
  </si>
  <si>
    <t>Santa Cruz de Tenerife</t>
  </si>
  <si>
    <t>Santiago del Teide</t>
  </si>
  <si>
    <t>Resto de Tenerife</t>
  </si>
  <si>
    <t>Plazas estimadas del mes</t>
  </si>
  <si>
    <t>FUENTE: Encuestas Alojamientos Turísticos (ISTAC). ELABORACIÓN: Turismo de Tenerife.</t>
  </si>
  <si>
    <t>Resumen de indicadores turísticos Canarias e islas</t>
  </si>
  <si>
    <t>Plazas estimadas
promedio anual</t>
  </si>
  <si>
    <t>Promedio anual de plazas en funcionamiento</t>
  </si>
  <si>
    <t>plazas en funcionamiento en el mes</t>
  </si>
  <si>
    <t>Hotel</t>
  </si>
  <si>
    <t>4, 5 Estrellas</t>
  </si>
  <si>
    <t>1, 2, 3 Estrellas</t>
  </si>
  <si>
    <t>Apartamento</t>
  </si>
  <si>
    <t>Promedio anual de establecimientos en funcionamiento</t>
  </si>
  <si>
    <t>establecimientos en funcionamiento en el mes</t>
  </si>
  <si>
    <t>año 2020: 1.627.003 (-68,0%)</t>
  </si>
  <si>
    <t>acumulado diciembre 2021: 2.384.391 (46,6%)</t>
  </si>
  <si>
    <t>Total lugares de residencia</t>
  </si>
  <si>
    <t>dato</t>
  </si>
  <si>
    <t>ene</t>
  </si>
  <si>
    <t>Enero</t>
  </si>
  <si>
    <t>feb</t>
  </si>
  <si>
    <t>Febrero</t>
  </si>
  <si>
    <t>mar</t>
  </si>
  <si>
    <t>Marzo</t>
  </si>
  <si>
    <t>abr</t>
  </si>
  <si>
    <t>Abril</t>
  </si>
  <si>
    <t>may</t>
  </si>
  <si>
    <t>Mayo</t>
  </si>
  <si>
    <t>jun</t>
  </si>
  <si>
    <t>Junio</t>
  </si>
  <si>
    <t>jul</t>
  </si>
  <si>
    <t>Julio</t>
  </si>
  <si>
    <t>ago</t>
  </si>
  <si>
    <t>Agosto</t>
  </si>
  <si>
    <t>sep</t>
  </si>
  <si>
    <t>Septiembre</t>
  </si>
  <si>
    <t>oct</t>
  </si>
  <si>
    <t>Octubre</t>
  </si>
  <si>
    <t>nov</t>
  </si>
  <si>
    <t>Noviembre</t>
  </si>
  <si>
    <t>dic</t>
  </si>
  <si>
    <t>Diciembre</t>
  </si>
  <si>
    <t>año 2020: 491.164 (-58,4%)</t>
  </si>
  <si>
    <t>acumulado diciembre 2021: 846.190 (72,3%)</t>
  </si>
  <si>
    <t>España</t>
  </si>
  <si>
    <t>Total residentes en España</t>
  </si>
  <si>
    <t>año 2020: 256.364 (-61,2%)</t>
  </si>
  <si>
    <t>acumulado diciembre 2021: 401.165 (56,5%)</t>
  </si>
  <si>
    <t>Península</t>
  </si>
  <si>
    <t>año 2020: 234.800 (-54,8%)</t>
  </si>
  <si>
    <t>acumulado diciembre 2021: 445.025 (89,5%)</t>
  </si>
  <si>
    <t>Canarias</t>
  </si>
  <si>
    <t>año 2020: 1.135.839 (-70,9%)</t>
  </si>
  <si>
    <t>acumulado diciembre 2021: 1.538.201 (35,4%)</t>
  </si>
  <si>
    <t>Mundo (excluida España)</t>
  </si>
  <si>
    <t>Total residentes en el extranjero</t>
  </si>
  <si>
    <t>año 2020: 443.259 (-75,1%)</t>
  </si>
  <si>
    <t>acumulado diciembre 2021: 443.278 (0,0%)</t>
  </si>
  <si>
    <t>Reino Unido</t>
  </si>
  <si>
    <t>año 2020: 140.489 (-72,1%)</t>
  </si>
  <si>
    <t>acumulado diciembre 2021: 218.298 (55,4%)</t>
  </si>
  <si>
    <t>Alemania</t>
  </si>
  <si>
    <t>año 2020: 60.127 (-65,0%)</t>
  </si>
  <si>
    <t>acumulado diciembre 2021: 133.006 (121,2%)</t>
  </si>
  <si>
    <t>Francia</t>
  </si>
  <si>
    <t>año 2020: 55.839 (-58,8%)</t>
  </si>
  <si>
    <t>acumulado diciembre 2021: 93.108 (66,7%)</t>
  </si>
  <si>
    <t>Bélgica</t>
  </si>
  <si>
    <t>junio</t>
  </si>
  <si>
    <t>año 2020: 40.096 (-72,1%)</t>
  </si>
  <si>
    <t>acumulado diciembre 2021: 93.513 (133,2%)</t>
  </si>
  <si>
    <t>Países Bajos</t>
  </si>
  <si>
    <t>año 2020: 36.855 (-72,9%)</t>
  </si>
  <si>
    <t>acumulado diciembre 2021: 74.437 (102,0%)</t>
  </si>
  <si>
    <t>año 2020: 27.669 (-76,0%)</t>
  </si>
  <si>
    <t>acumulado diciembre 2021: 42.846 (54,9%)</t>
  </si>
  <si>
    <t>Dinamarca</t>
  </si>
  <si>
    <t>año 2020: 12.033 (-72,1%)</t>
  </si>
  <si>
    <t>acumulado diciembre 2021: 30.544 (153,8%)</t>
  </si>
  <si>
    <t>Suecia</t>
  </si>
  <si>
    <t>Total categorías</t>
  </si>
  <si>
    <t>var 16/15</t>
  </si>
  <si>
    <t>var 17/16</t>
  </si>
  <si>
    <t>var 18/17</t>
  </si>
  <si>
    <t>var 22/21</t>
  </si>
  <si>
    <t>hoteles</t>
  </si>
  <si>
    <t>viajeros entrados</t>
  </si>
  <si>
    <t>var interanual</t>
  </si>
  <si>
    <t>4, 5 estrellas</t>
  </si>
  <si>
    <t>Evolución de viajeros entrados en los hoteles de 4 estrellas de Tenerife</t>
  </si>
  <si>
    <t>1, 2, 3 estrellas</t>
  </si>
  <si>
    <t>Viajeros entrados en los establecimientos alojativos de Tenerife por municipio y categoría 
(hotel + apartamento)</t>
  </si>
  <si>
    <t>Holanda</t>
  </si>
  <si>
    <t>Otros países</t>
  </si>
  <si>
    <t>Mundo (Excluida España)</t>
  </si>
  <si>
    <t>año 2020: 165.282 (-66,0%)</t>
  </si>
  <si>
    <t>acumulado diciembre 2021: 310.940 (88,1%)</t>
  </si>
  <si>
    <t>4 y 5 estrellas</t>
  </si>
  <si>
    <t>año 2020: 0 (-39,9%)</t>
  </si>
  <si>
    <t>acumulado diciembre 2021: 1 (57,7%)</t>
  </si>
  <si>
    <t>Total establecimientos alojativos (hotel + apartamento)</t>
  </si>
  <si>
    <t>año 2020: 0 (-39,0%)</t>
  </si>
  <si>
    <t>acumulado diciembre 2021: 1 (13,3%)</t>
  </si>
  <si>
    <t>año 2020: 0 (-36,7%)</t>
  </si>
  <si>
    <t>acumulado diciembre 2021: 1 (20,6%)</t>
  </si>
  <si>
    <t>año 2020: 0 (-39,4%)</t>
  </si>
  <si>
    <t>acumulado diciembre 2021: 1 (13,1%)</t>
  </si>
  <si>
    <t>i</t>
  </si>
  <si>
    <t xml:space="preserve">Tarifa media diaria ADR por habitación en los establecimientos alojativos Tenerife por municipio  (hotel + apartamento) </t>
  </si>
  <si>
    <t>Ingresos por habitación disponible (RevPAR) en los establecimientos alojativos de Tenerife por municipio  (hotel + apartamento)</t>
  </si>
  <si>
    <t>Ingresos totales en los establecimientos alojativos de Tenerife por municipio  (hotel + apartamento)</t>
  </si>
  <si>
    <t>El ADR o Tarifa Media Diaria son los ingresos medios diarios obtenidos por habitación-apartamento ocupado. Los ingresos hacen referencia a aquellos percibidos por los hoteleros por la prestación del servicio de alojamiento, sin incluir otro tipo de servicios que sí pueda ofrecer el establecimiento.</t>
  </si>
  <si>
    <t>El RevPar o Ingreso por Habitación-Apartamento Disponible son los ingresos medios diarios obtenidos por habitación-apartamento disponible. Los ingresos hacen referencia a aquellos percibidos por los hoteleros por la prestación del servicio de alojamiento, sin incluir otro tipo de servicios que sí pueda ofrecer el establecimiento.</t>
  </si>
  <si>
    <t>Los Ingresos totales son el producto del ADR por las habitaciones ocupadas</t>
  </si>
  <si>
    <t>Los datos del acumulado están calculados como la división entre el aumulado de los ingresos y el acumulados de las habitaciones ocupadas</t>
  </si>
  <si>
    <t>Los datos del acumulado están calculados como la división entre el aumulado de los ingresos y el acumulados de las habitaciones disponibles</t>
  </si>
  <si>
    <t xml:space="preserve">Tarifa media diaria ADR por habitación en los establecimientos alojativos Canarias e islas  (hotel + apartamento) </t>
  </si>
  <si>
    <t>Ingresos por habitación disponible (RevPAR) en los establecimientos alojativos Canarias e islas  (hotel + apartamento)</t>
  </si>
  <si>
    <t>Ingresos totales en los establecimientos alojativos Canarias e islas  (hotel + apartamento)</t>
  </si>
  <si>
    <t>Total Turistas</t>
  </si>
  <si>
    <t>Total España</t>
  </si>
  <si>
    <t>Total 
categorías</t>
  </si>
  <si>
    <t>Alojados 
hoteleros</t>
  </si>
  <si>
    <t>5*</t>
  </si>
  <si>
    <t>Residentes en Tenerife</t>
  </si>
  <si>
    <t>4*</t>
  </si>
  <si>
    <t>Residentes resto de Canarias</t>
  </si>
  <si>
    <t>3*</t>
  </si>
  <si>
    <t>1*</t>
  </si>
  <si>
    <t>FUENTE: Desarrollo Económico, Cabildo Insular de Tenerife. ELABORACIÓN: Turismo de Tenerife.</t>
  </si>
  <si>
    <t>Alojados 
extrahoteleros</t>
  </si>
  <si>
    <t>Turismo español alojado en Tenerife por lugar de residencia</t>
  </si>
  <si>
    <t>%/s total España</t>
  </si>
  <si>
    <t>%/ total turistas</t>
  </si>
  <si>
    <t>Var. Interanual</t>
  </si>
  <si>
    <t>diferencia</t>
  </si>
  <si>
    <t>Distribución de viajeros peninsulares entrados en hoteles y apartamentos de Tenerife por lugar categoría del alojamiento</t>
  </si>
  <si>
    <t>Total viajeros españoles</t>
  </si>
  <si>
    <t>Hoteles</t>
  </si>
  <si>
    <t>Apartamentos</t>
  </si>
  <si>
    <t>,</t>
  </si>
  <si>
    <t>Viajeros españoles entrados en los hoteles y apartamentos de Tenerife por tipología y categoría de alojamiento</t>
  </si>
  <si>
    <t xml:space="preserve">Observación: en 2022 no se publica desagregación por categorías
FUENTE: Desarrollo Económico, Cabildo Insular de Tenerife. ELABORACIÓN: Turismo de Tenerife. </t>
  </si>
  <si>
    <t>Total viajeros peninsulares</t>
  </si>
  <si>
    <t>Viajeros peninsulares entrados en los hoteles y apartamentos de Tenerife por tipología y categoría de alojamiento</t>
  </si>
  <si>
    <t>Total viajeros canarios</t>
  </si>
  <si>
    <t>Viajeros canarios entrados en los hoteles y apartamentos de Tenerife por tipología y categoría de alojamiento</t>
  </si>
  <si>
    <t>Distribución de viajeros españoles entrados en hoteles y apartamentos de Tenerife por municipio de alojamiento</t>
  </si>
  <si>
    <t>Total Tenerife</t>
  </si>
  <si>
    <t>Resto de municipios de Tenerife</t>
  </si>
  <si>
    <t>Distribución de viajeros peninsulares entrados en hoteles y apartamentos de Tenerife por municipio de alojamiento</t>
  </si>
  <si>
    <t>Distribución de viajeros canarios entrados en hoteles y apartamentos de Tenerife por municipio de alojamiento</t>
  </si>
  <si>
    <t>Españoles</t>
  </si>
  <si>
    <t>peninsulares</t>
  </si>
  <si>
    <t>Canarios</t>
  </si>
  <si>
    <t>Acumulado junio 2025</t>
  </si>
  <si>
    <t>Resumen indicadores Santa Cruz de Tenerife</t>
  </si>
  <si>
    <t>Evolución mensual de viajeros entrados en Santa Cruz de Tenerife según lugar de residencia</t>
  </si>
  <si>
    <t>Evolución mensual de viajeros entrados en Santa Cruz de Tenerife según categoría del establecimiento</t>
  </si>
  <si>
    <t>Evolución anual de viajeros entrados en Santa Cruz de Tenerife según categoría del establecimiento</t>
  </si>
  <si>
    <t>Evolución mensual de pernoctaciones en Santa Cruz de Tenerife según lugar de residencia</t>
  </si>
  <si>
    <t>Evolución mensual de pernoctaciones en Santa Cruz de Tenerife según categoría del establecimiento</t>
  </si>
  <si>
    <t>Evolución mensual de estancia media en Santa Cruz de Tenerife según lugar de residencia</t>
  </si>
  <si>
    <t>Evolución mensual de estancia media en Santa Cruz de Tenerife según categoría del establecimiento</t>
  </si>
  <si>
    <t>Evolución mensual de tasa de ocupación en Santa Cruz de Tenerife según categoría del establecimiento</t>
  </si>
  <si>
    <t>Viajeros españoles entrados en los hoteles y apartamentos de Santa Cruz de Tenerife según lugar de residencia - acumulado</t>
  </si>
  <si>
    <t>Viajeros españoles entrados en los hoteles y apartamentos de Santa Cruz de Tenerife por tipología y categoría de alojamiento - acumulado</t>
  </si>
  <si>
    <t>Viajeros peninsulares entrados en los hoteles y apartamentos de Santa Cruz de Tenerife por tipología y categoría de alojamiento - acumulado</t>
  </si>
  <si>
    <t>Viajeros canarios entrados en los hoteles y apartamentos de Santa Cruz de Tenerife por tipología y categoría de alojamiento - acumulado</t>
  </si>
  <si>
    <t>Resumen de indicadores turísticos de Tenerife-Santa Cruz de Tenerife</t>
  </si>
  <si>
    <t>junio 2021</t>
  </si>
  <si>
    <t>junio 2022</t>
  </si>
  <si>
    <t>junio 2023</t>
  </si>
  <si>
    <t>junio 2024</t>
  </si>
  <si>
    <t>junio 2025</t>
  </si>
  <si>
    <t>-</t>
  </si>
  <si>
    <t>acumulado a junio 2021</t>
  </si>
  <si>
    <t>acumulado a junio 2022</t>
  </si>
  <si>
    <t>acumulado a junio 2023</t>
  </si>
  <si>
    <t>acumulado a junio 2024</t>
  </si>
  <si>
    <t>acumulado a junio 2025</t>
  </si>
  <si>
    <t>Viajeros  entrados en los establecimientos alojativos de Santa Cruz de Tenerife 
(hotel + apartamento)</t>
  </si>
  <si>
    <t>Viajeros españoles entrados en los establecimientos alojativos de Santa Cruz de Tenerife 
(hotel + apartamento)</t>
  </si>
  <si>
    <t>Viajeros peninsulares entrados en los establecimientos alojativos de Santa Cruz de Tenerife 
(hotel + apartamento)</t>
  </si>
  <si>
    <t>Viajeros canarios entrados en los establecimientos alojativos de Santa Cruz de Tenerife 
(hotel + apartamento)</t>
  </si>
  <si>
    <t>Viajeros extranjeros entrados en los establecimientos alojativos de Santa Cruz de Tenerife 
(hotel + apartamento)</t>
  </si>
  <si>
    <t>Viajeros británicos entrados en los establecimientos alojativos de Santa Cruz de Tenerife 
(hotel + apartamento)</t>
  </si>
  <si>
    <t>Viajeros alemanes entrados en los establecimientos alojativos de Santa Cruz de Tenerife 
(hotel + apartamento)</t>
  </si>
  <si>
    <t>Viajeros franceses entrados en los establecimientos alojativos de Santa Cruz de Tenerife 
(hotel + apartamento)</t>
  </si>
  <si>
    <t>Viajeros belgas entrados en los establecimientos alojativos de Santa Cruz de Tenerife 
(hotel + apartamento)</t>
  </si>
  <si>
    <t>Viajeros holandeses entrados en los establecimientos alojativos de Santa Cruz de Tenerife 
(hotel + apartamento)</t>
  </si>
  <si>
    <t>Viajeros daneses entrados en los establecimientos alojativos de Santa Cruz de Tenerife 
(hotel + apartamento)</t>
  </si>
  <si>
    <t>Viajeros suecos entrados en los establecimientos alojativos de Santa Cruz de Tenerife 
(hotel + apartamento)</t>
  </si>
  <si>
    <t>var 23/22</t>
  </si>
  <si>
    <t>var 24/23</t>
  </si>
  <si>
    <t>Viajeros entrados en los establecimientos alojativos de Santa Cruz de Tenerife 
(hotel + apartamento)</t>
  </si>
  <si>
    <t>Viajeros entrados en los hoteles de Santa Cruz de Tenerife</t>
  </si>
  <si>
    <t>Viajeros entrados en los hoteles de 4, 5 estrellas Santa Cruz de Tenerife</t>
  </si>
  <si>
    <t>Viajeros entrados en los hoteles de 1, 2, 3 estrellas Santa Cruz de Tenerife</t>
  </si>
  <si>
    <t>Evolución de viajeros entrados en los establecimientos alojativos de Santa Cruz de Tenerife 
(hotel + apartamento)</t>
  </si>
  <si>
    <t>Evolución de viajeros entrados en los hoteles de Santa Cruz de Tenerife</t>
  </si>
  <si>
    <t>Evolución de viajeros entrados en los hoteles de 4, 5 estrellas de Santa Cruz de Tenerife</t>
  </si>
  <si>
    <t>acumulado a junio 2020</t>
  </si>
  <si>
    <t>junio 2020</t>
  </si>
  <si>
    <t>Viajeros entrados en los establecimientos alojativos de Santa Cruz de Tenerife según lugar de residencia (hotel + apartamento)</t>
  </si>
  <si>
    <t>acumulado junio 2020</t>
  </si>
  <si>
    <t>acumulado junio 2021</t>
  </si>
  <si>
    <t>acumulado junio 2022</t>
  </si>
  <si>
    <t>acumulado junio 2023</t>
  </si>
  <si>
    <t>acumulado junio 2024</t>
  </si>
  <si>
    <t>acumulado junio 2025</t>
  </si>
  <si>
    <t>Viajeros entrados en los hoteles de Santa Cruz de Tenerife según lugar de residencia (hotel + apartamento)</t>
  </si>
  <si>
    <t>Viajeros entrados en los apartamentos de Santa Cruz de Tenerife según lugar de residencia (hotel + apartamento)</t>
  </si>
  <si>
    <t>Viajeros alojados en los establecimientos alojativos de Santa Cruz de Tenerife según lugar de residencia (hotel + apartamento)</t>
  </si>
  <si>
    <t>acumulado junio 2019</t>
  </si>
  <si>
    <t>Pernoctaciones realizadas por los turistas en los establecimientos alojativos de Santa Cruz de Tenerife (hotel + apartamento)</t>
  </si>
  <si>
    <t>Pernoctaciones realizadas por los turistas españoles en los establecimientos alojativos de Santa Cruz de Tenerife (hotel + apartamento)</t>
  </si>
  <si>
    <t>var 25/24</t>
  </si>
  <si>
    <t>Pernoctaciones realizadas por los procedentes de Península en los establecimientos alojativos de Santa Cruz de Tenerife (hotel + apartamento)</t>
  </si>
  <si>
    <t>Pernoctaciones realizadas por los procedentes de Canarias en los establecimientos alojativos de Santa Cruz de Tenerife (hotel + apartamento)</t>
  </si>
  <si>
    <t>Pernoctaciones realizadas por los procedentes de Total residentes en el extranjero en los establecimientos alojativos de Santa Cruz de Tenerife (hotel + apartamento)</t>
  </si>
  <si>
    <t>Pernoctaciones realizadas por los procedentes de Reino Unido en los establecimientos alojativos de Santa Cruz de Tenerife (hotel + apartamento)</t>
  </si>
  <si>
    <t>Pernoctaciones realizadas por los procedentes de Alemania en los establecimientos alojativos de Santa Cruz de Tenerife (hotel + apartamento)</t>
  </si>
  <si>
    <t>Pernoctaciones realizadas por los procedentes de Francia en los establecimientos alojativos de Santa Cruz de Tenerife (hotel + apartamento)</t>
  </si>
  <si>
    <t>Pernoctaciones realizadas por los procedentes de Bélgica en los establecimientos alojativos de Santa Cruz de Tenerife (hotel + apartamento)</t>
  </si>
  <si>
    <t>Pernoctaciones realizadas por los procedentes de Países Bajos en los establecimientos alojativos de Santa Cruz de Tenerife (hotel + apartamento)</t>
  </si>
  <si>
    <t>Pernoctaciones realizadas por los procedentes de Dinamarca en los establecimientos alojativos de Santa Cruz de Tenerife (hotel + apartamento)</t>
  </si>
  <si>
    <t>Pernoctaciones realizadas por los procedentes de Suecia en los establecimientos alojativos de Santa Cruz de Tenerife (hotel + apartamento)</t>
  </si>
  <si>
    <t>Pernoctaciones realizadas por los turistas en los hoteles de Santa Cruz de Tenerife</t>
  </si>
  <si>
    <t>Pernoctaciones realizadas por los turistas en los hoteles de 4 y 5 estrellas de Santa Cruz de Tenerife</t>
  </si>
  <si>
    <t>Pernoctaciones realizadas por los turistas en los hoteles de 1, 2, 3 estrellas de Santa Cruz de Tenerife</t>
  </si>
  <si>
    <t>Estancia Media en los establecimientos alojativos de Santa Cruz de Tenerife
(hotel + apartamento)</t>
  </si>
  <si>
    <t>Estancia media de los viajeros españoles entrados en los establecimientos alojativos de Santa Cruz de Tenerife (hotel + apartamento)</t>
  </si>
  <si>
    <t>Estancia media de los viajeros peninsulares entrados en los establecimientos alojativos de Santa Cruz de Tenerife (hotel + apartamento)</t>
  </si>
  <si>
    <t>Estancia media de los viajeros canarios entrados en los establecimientos alojativos de Santa Cruz de Tenerife (hotel + apartamento)</t>
  </si>
  <si>
    <t>Estancia media de los viajeros extranjeros entrados en los establecimientos alojativos de Santa Cruz de Tenerife (hotel + apartamento)</t>
  </si>
  <si>
    <t>Estancia media de los viajeros británicos entrados en los establecimientos alojativos de Santa Cruz de Tenerife (hotel + apartamento)</t>
  </si>
  <si>
    <t>Estancia media de los viajeros alemanes entrados en los establecimientos alojativos de Santa Cruz de Tenerife (hotel + apartamento)</t>
  </si>
  <si>
    <t>Estancia media de los viajeros franceses entrados en los establecimientos alojativos de Santa Cruz de Tenerife (hotel + apartamento)</t>
  </si>
  <si>
    <t>Estancia media de los viajeros belgas entrados en los establecimientos alojativos de Santa Cruz de Tenerife (hotel + apartamento)</t>
  </si>
  <si>
    <t>Estancia media de los viajeros holandeses entrados en los establecimientos alojativos de Santa Cruz de Tenerife (hotel + apartamento)</t>
  </si>
  <si>
    <t>Estancia media de los viajeros daneses entrados en los establecimientos alojativos de Santa Cruz de Tenerife (hotel + apartamento)</t>
  </si>
  <si>
    <t>Estancia media de los viajeros suecos entrados en los establecimientos alojativos de Santa Cruz de Tenerife (hotel + apartamento)</t>
  </si>
  <si>
    <t>Estancia Media en los hoteles de Santa Cruz de Tenerife</t>
  </si>
  <si>
    <t>Estancia Media en los hoteles de 4, 5 estrellas de Santa Cruz de Tenerife</t>
  </si>
  <si>
    <t>Estancia Media en los hoteles de 1, 2, 3 Estrellas de Santa Cruz de Tenerife</t>
  </si>
  <si>
    <t>Tasa de ocupación por plaza en los establecimientos alojativos de Santa Cruz de Tenerife
(hotel + apartamento)</t>
  </si>
  <si>
    <t>Tasa de ocupación por plaza en los hoteles de Santa Cruz de Tenerife</t>
  </si>
  <si>
    <t>Tasa de ocupación por plaza en los hoteles de 4, 5 Estrellas de Santa Cruz de Tenerife</t>
  </si>
  <si>
    <t>Tasa de ocupación por plaza en los hoteles de 1, 2, 3 Estrellas de Santa Cruz de Tenerife</t>
  </si>
  <si>
    <t>Distribución de viajeros españoles entrados en hoteles y apartamentos de Santa Cruz de Tenerife  por lugar de residencia</t>
  </si>
  <si>
    <t>Viajeros españoles entrados en los hoteles y apartamentos de Santa Cruz de Tenerife según lugar de residencia</t>
  </si>
  <si>
    <t>Viajeros españoles entrados en los hoteles y apartamentos de Santa Cruz de Tenerife por tipología y categoría de alojamiento</t>
  </si>
  <si>
    <t>Viajeros peninsulares entrados en los hoteles y apartamentos de Santa Cruz de Tenerife por tipología y categoría de alojamiento</t>
  </si>
  <si>
    <t>Viajeros canarios entrados en los hoteles y apartamentos de Santa Cruz de Tenerife por tipología y categoría de alojamiento</t>
  </si>
  <si>
    <t>Evolución de viajeros españoles entrados en los establecimientos alojativos de Santa Cruz de Tenerife
(hotel + apartamento)</t>
  </si>
  <si>
    <t>Evolución de viajeros peninsulares entrados en los establecimientos alojativos de Santa Cruz de Tenerife
(hotel + apartamento)</t>
  </si>
  <si>
    <t>Evolución de viajeros canarios entrados en los establecimientos alojativos de Santa Cruz de Tenerife
(hotel + apartamento)</t>
  </si>
  <si>
    <t>nd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</si>
</sst>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0.0%"/>
    <numFmt numFmtId="165" formatCode="#,##0.0\ &quot;€&quot;"/>
    <numFmt numFmtId="166" formatCode="#,##0\ &quot;€&quot;"/>
    <numFmt numFmtId="167" formatCode="#,##0.00\ &quot;€&quot;"/>
  </numFmts>
  <fonts count="29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sz val="11"/>
      <color theme="0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28"/>
      <color theme="1" tint="0.34998626667073579"/>
      <name val="Aptos Narrow"/>
      <family val="2"/>
      <scheme val="minor"/>
    </font>
    <font>
      <b/>
      <sz val="18"/>
      <color theme="1" tint="0.34998626667073579"/>
      <name val="Aptos Narrow"/>
      <family val="2"/>
      <scheme val="minor"/>
    </font>
    <font>
      <sz val="11"/>
      <color theme="1" tint="0.34998626667073579"/>
      <name val="Aptos Narrow"/>
      <family val="2"/>
      <scheme val="minor"/>
    </font>
    <font>
      <b/>
      <sz val="16"/>
      <color theme="1" tint="0.34998626667073579"/>
      <name val="Aptos Narrow"/>
      <family val="2"/>
      <scheme val="minor"/>
    </font>
    <font>
      <sz val="12"/>
      <color theme="1" tint="0.34998626667073579"/>
      <name val="Aptos Narrow"/>
      <family val="2"/>
      <scheme val="minor"/>
    </font>
    <font>
      <b/>
      <sz val="14"/>
      <color theme="9"/>
      <name val="Aptos Narrow"/>
      <family val="2"/>
      <scheme val="minor"/>
    </font>
    <font>
      <sz val="16"/>
      <color theme="1" tint="0.34998626667073579"/>
      <name val="Aptos Narrow"/>
      <family val="2"/>
      <scheme val="minor"/>
    </font>
    <font>
      <sz val="9"/>
      <color theme="1" tint="0.34998626667073579"/>
      <name val="Aptos Narrow"/>
      <family val="2"/>
      <scheme val="minor"/>
    </font>
    <font>
      <sz val="11"/>
      <color theme="1" tint="0.249977111117893"/>
      <name val="Aptos Narrow"/>
      <family val="2"/>
      <scheme val="minor"/>
    </font>
    <font>
      <sz val="10"/>
      <color theme="1"/>
      <name val="Aptos Narrow"/>
      <family val="2"/>
      <scheme val="minor"/>
    </font>
    <font>
      <b/>
      <sz val="11"/>
      <color theme="1" tint="0.34998626667073579"/>
      <name val="Aptos Narrow"/>
      <family val="2"/>
      <scheme val="minor"/>
    </font>
    <font>
      <sz val="10"/>
      <color theme="1" tint="0.34998626667073579"/>
      <name val="Aptos Narrow"/>
      <family val="2"/>
      <scheme val="minor"/>
    </font>
    <font>
      <b/>
      <sz val="11"/>
      <color theme="9"/>
      <name val="Aptos Narrow"/>
      <family val="2"/>
      <scheme val="minor"/>
    </font>
    <font>
      <sz val="11"/>
      <color theme="9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b/>
      <sz val="14"/>
      <color theme="1" tint="0.34998626667073579"/>
      <name val="Aptos Narrow"/>
      <family val="2"/>
      <scheme val="minor"/>
    </font>
    <font>
      <sz val="10"/>
      <name val="Arial"/>
      <family val="2"/>
    </font>
    <font>
      <b/>
      <sz val="12"/>
      <color theme="9"/>
      <name val="Aptos Narrow"/>
      <family val="2"/>
      <scheme val="minor"/>
    </font>
    <font>
      <sz val="18"/>
      <color rgb="FFFF0000"/>
      <name val="Aptos Narrow"/>
      <family val="2"/>
      <scheme val="minor"/>
    </font>
    <font>
      <sz val="12"/>
      <color theme="9"/>
      <name val="Aptos Narrow"/>
      <family val="2"/>
      <scheme val="minor"/>
    </font>
    <font>
      <sz val="18"/>
      <color theme="1" tint="0.34998626667073579"/>
      <name val="Aptos Narrow"/>
      <family val="2"/>
      <scheme val="minor"/>
    </font>
    <font>
      <sz val="14"/>
      <color rgb="FFFF0000"/>
      <name val="Aptos Narrow"/>
      <family val="2"/>
      <scheme val="minor"/>
    </font>
    <font>
      <b/>
      <sz val="12"/>
      <color rgb="FFFF0000"/>
      <name val="Aptos Narrow"/>
      <family val="2"/>
      <scheme val="minor"/>
    </font>
    <font>
      <b/>
      <sz val="11"/>
      <color theme="7" tint="-0.249977111117893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</fills>
  <borders count="6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 style="medium">
        <color theme="0"/>
      </left>
      <right style="medium">
        <color theme="0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/>
      <top/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medium">
        <color theme="0"/>
      </bottom>
      <diagonal/>
    </border>
    <border>
      <left/>
      <right/>
      <top/>
      <bottom style="thin">
        <color theme="9" tint="-0.24994659260841701"/>
      </bottom>
      <diagonal/>
    </border>
    <border>
      <left style="thin">
        <color theme="0" tint="-0.14996795556505021"/>
      </left>
      <right style="medium">
        <color theme="0"/>
      </right>
      <top/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1" tint="0.499984740745262"/>
      </top>
      <bottom style="thin">
        <color theme="1" tint="0.499984740745262"/>
      </bottom>
      <diagonal/>
    </border>
    <border>
      <left/>
      <right/>
      <top style="thin">
        <color theme="3"/>
      </top>
      <bottom style="thin">
        <color theme="1" tint="0.499984740745262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ck">
        <color theme="0" tint="-0.14981536301767021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/>
      <top style="thick">
        <color theme="0" tint="-0.14981536301767021"/>
      </top>
      <bottom style="thick">
        <color theme="0" tint="-0.14981536301767021"/>
      </bottom>
      <diagonal/>
    </border>
    <border>
      <left/>
      <right style="thin">
        <color theme="0" tint="-0.14993743705557422"/>
      </right>
      <top style="thick">
        <color theme="0" tint="-0.14981536301767021"/>
      </top>
      <bottom style="thick">
        <color theme="0" tint="-0.14981536301767021"/>
      </bottom>
      <diagonal/>
    </border>
    <border>
      <left style="thin">
        <color theme="0" tint="-0.14993743705557422"/>
      </left>
      <right/>
      <top style="thick">
        <color theme="0" tint="-0.14981536301767021"/>
      </top>
      <bottom style="thick">
        <color theme="0" tint="-0.14981536301767021"/>
      </bottom>
      <diagonal/>
    </border>
    <border>
      <left style="thick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/>
      <bottom style="medium">
        <color theme="0"/>
      </bottom>
      <diagonal/>
    </border>
    <border>
      <left style="thick">
        <color theme="0" tint="-0.14993743705557422"/>
      </left>
      <right style="medium">
        <color theme="0"/>
      </right>
      <top/>
      <bottom style="medium">
        <color theme="0"/>
      </bottom>
      <diagonal/>
    </border>
    <border>
      <left style="thick">
        <color theme="0" tint="-0.1498458815271462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ck">
        <color theme="0" tint="-0.1498458815271462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/>
      <right/>
      <top style="dashed">
        <color theme="0" tint="-0.24994659260841701"/>
      </top>
      <bottom/>
      <diagonal/>
    </border>
    <border>
      <left style="thin">
        <color theme="0" tint="-0.34998626667073579"/>
      </left>
      <right/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medium">
        <color theme="0"/>
      </left>
      <right style="medium">
        <color theme="0"/>
      </right>
      <top style="thin">
        <color theme="0" tint="-0.34998626667073579"/>
      </top>
      <bottom style="thin">
        <color theme="0" tint="-0.34998626667073579"/>
      </bottom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dashed">
        <color theme="0" tint="-0.34998626667073579"/>
      </right>
      <top/>
      <bottom/>
      <diagonal/>
    </border>
    <border>
      <left style="dashed">
        <color theme="0" tint="-0.34998626667073579"/>
      </left>
      <right style="dashed">
        <color theme="0" tint="-0.34998626667073579"/>
      </right>
      <top/>
      <bottom/>
      <diagonal/>
    </border>
    <border>
      <left/>
      <right style="dashed">
        <color theme="0" tint="-0.34998626667073579"/>
      </right>
      <top/>
      <bottom style="thin">
        <color theme="0" tint="-0.34998626667073579"/>
      </bottom>
      <diagonal/>
    </border>
    <border>
      <left style="dashed">
        <color theme="0" tint="-0.34998626667073579"/>
      </left>
      <right style="dashed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24994659260841701"/>
      </bottom>
      <diagonal/>
    </border>
    <border>
      <left/>
      <right/>
      <top style="thin">
        <color theme="0" tint="-0.34998626667073579"/>
      </top>
      <bottom style="thin">
        <color theme="0" tint="-0.24994659260841701"/>
      </bottom>
      <diagonal/>
    </border>
    <border>
      <left style="thin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 style="dashed">
        <color theme="0" tint="-0.24994659260841701"/>
      </left>
      <right style="dashed">
        <color theme="0" tint="-0.24994659260841701"/>
      </right>
      <top style="thin">
        <color theme="0" tint="-0.24994659260841701"/>
      </top>
      <bottom/>
      <diagonal/>
    </border>
    <border>
      <left/>
      <right style="dashed">
        <color theme="0" tint="-0.34998626667073579"/>
      </right>
      <top style="thin">
        <color theme="0" tint="-0.34998626667073579"/>
      </top>
      <bottom/>
      <diagonal/>
    </border>
    <border>
      <left style="dashed">
        <color theme="0" tint="-0.34998626667073579"/>
      </left>
      <right style="dashed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24994659260841701"/>
      </left>
      <right style="medium">
        <color theme="0"/>
      </right>
      <top/>
      <bottom style="medium">
        <color theme="0"/>
      </bottom>
      <diagonal/>
    </border>
    <border>
      <left/>
      <right style="medium">
        <color theme="0"/>
      </right>
      <top/>
      <bottom/>
      <diagonal/>
    </border>
    <border>
      <left style="medium">
        <color theme="0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/>
      <right/>
      <top/>
      <bottom style="thin">
        <color theme="0" tint="-0.14993743705557422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/>
      <right/>
      <top style="thin">
        <color theme="0" tint="-0.14993743705557422"/>
      </top>
      <bottom/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1" fillId="0" borderId="0"/>
    <xf numFmtId="1" fontId="21" fillId="0" borderId="0">
      <alignment vertical="center"/>
    </xf>
  </cellStyleXfs>
  <cellXfs count="320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0" xfId="2" applyFont="1" applyAlignment="1">
      <alignment horizontal="left" indent="3"/>
    </xf>
    <xf numFmtId="0" fontId="10" fillId="0" borderId="2" xfId="2" applyFont="1" applyFill="1" applyBorder="1" applyAlignment="1">
      <alignment horizontal="left" indent="1"/>
    </xf>
    <xf numFmtId="0" fontId="10" fillId="0" borderId="0" xfId="2" applyFont="1" applyFill="1" applyAlignment="1">
      <alignment horizontal="left" indent="1"/>
    </xf>
    <xf numFmtId="0" fontId="4" fillId="0" borderId="0" xfId="2" applyAlignment="1">
      <alignment horizontal="left" indent="3"/>
    </xf>
    <xf numFmtId="0" fontId="9" fillId="2" borderId="0" xfId="2" applyFont="1" applyFill="1" applyAlignment="1">
      <alignment horizontal="left" indent="3"/>
    </xf>
    <xf numFmtId="0" fontId="9" fillId="0" borderId="0" xfId="2" applyFont="1" applyAlignment="1">
      <alignment horizontal="left" wrapText="1" indent="3"/>
    </xf>
    <xf numFmtId="0" fontId="0" fillId="0" borderId="3" xfId="0" applyBorder="1"/>
    <xf numFmtId="17" fontId="7" fillId="3" borderId="4" xfId="0" applyNumberFormat="1" applyFont="1" applyFill="1" applyBorder="1" applyAlignment="1">
      <alignment horizontal="right" vertical="center" wrapText="1"/>
    </xf>
    <xf numFmtId="0" fontId="7" fillId="3" borderId="5" xfId="0" applyFont="1" applyFill="1" applyBorder="1" applyAlignment="1">
      <alignment horizontal="right" vertical="center" wrapText="1"/>
    </xf>
    <xf numFmtId="0" fontId="7" fillId="4" borderId="7" xfId="0" applyFont="1" applyFill="1" applyBorder="1"/>
    <xf numFmtId="3" fontId="7" fillId="4" borderId="7" xfId="0" applyNumberFormat="1" applyFont="1" applyFill="1" applyBorder="1"/>
    <xf numFmtId="164" fontId="7" fillId="4" borderId="7" xfId="1" applyNumberFormat="1" applyFont="1" applyFill="1" applyBorder="1" applyAlignment="1">
      <alignment horizontal="right"/>
    </xf>
    <xf numFmtId="164" fontId="7" fillId="4" borderId="7" xfId="1" applyNumberFormat="1" applyFont="1" applyFill="1" applyBorder="1"/>
    <xf numFmtId="0" fontId="7" fillId="4" borderId="0" xfId="0" applyFont="1" applyFill="1"/>
    <xf numFmtId="3" fontId="7" fillId="4" borderId="0" xfId="0" applyNumberFormat="1" applyFont="1" applyFill="1"/>
    <xf numFmtId="164" fontId="7" fillId="4" borderId="0" xfId="1" applyNumberFormat="1" applyFont="1" applyFill="1" applyAlignment="1">
      <alignment horizontal="right"/>
    </xf>
    <xf numFmtId="164" fontId="7" fillId="4" borderId="0" xfId="1" applyNumberFormat="1" applyFont="1" applyFill="1"/>
    <xf numFmtId="0" fontId="7" fillId="4" borderId="9" xfId="0" applyFont="1" applyFill="1" applyBorder="1"/>
    <xf numFmtId="3" fontId="7" fillId="4" borderId="9" xfId="0" applyNumberFormat="1" applyFont="1" applyFill="1" applyBorder="1" applyAlignment="1">
      <alignment horizontal="right"/>
    </xf>
    <xf numFmtId="164" fontId="7" fillId="4" borderId="9" xfId="1" applyNumberFormat="1" applyFont="1" applyFill="1" applyBorder="1" applyAlignment="1">
      <alignment horizontal="right"/>
    </xf>
    <xf numFmtId="0" fontId="7" fillId="0" borderId="7" xfId="0" applyFont="1" applyBorder="1"/>
    <xf numFmtId="3" fontId="7" fillId="0" borderId="7" xfId="0" applyNumberFormat="1" applyFont="1" applyBorder="1"/>
    <xf numFmtId="164" fontId="7" fillId="0" borderId="7" xfId="1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1" applyNumberFormat="1" applyFont="1" applyAlignment="1">
      <alignment horizontal="right"/>
    </xf>
    <xf numFmtId="164" fontId="7" fillId="0" borderId="0" xfId="1" applyNumberFormat="1" applyFont="1"/>
    <xf numFmtId="0" fontId="7" fillId="0" borderId="9" xfId="0" applyFont="1" applyBorder="1"/>
    <xf numFmtId="3" fontId="7" fillId="0" borderId="9" xfId="0" applyNumberFormat="1" applyFont="1" applyBorder="1" applyAlignment="1">
      <alignment horizontal="right"/>
    </xf>
    <xf numFmtId="164" fontId="7" fillId="0" borderId="9" xfId="1" applyNumberFormat="1" applyFont="1" applyBorder="1" applyAlignment="1">
      <alignment horizontal="right"/>
    </xf>
    <xf numFmtId="2" fontId="7" fillId="0" borderId="7" xfId="0" applyNumberFormat="1" applyFont="1" applyBorder="1"/>
    <xf numFmtId="164" fontId="7" fillId="0" borderId="7" xfId="1" applyNumberFormat="1" applyFont="1" applyFill="1" applyBorder="1" applyAlignment="1">
      <alignment horizontal="right"/>
    </xf>
    <xf numFmtId="4" fontId="7" fillId="0" borderId="7" xfId="0" applyNumberFormat="1" applyFont="1" applyBorder="1"/>
    <xf numFmtId="164" fontId="7" fillId="0" borderId="7" xfId="1" applyNumberFormat="1" applyFont="1" applyFill="1" applyBorder="1"/>
    <xf numFmtId="2" fontId="7" fillId="0" borderId="0" xfId="0" applyNumberFormat="1" applyFont="1"/>
    <xf numFmtId="164" fontId="7" fillId="0" borderId="0" xfId="1" applyNumberFormat="1" applyFont="1" applyFill="1" applyAlignment="1">
      <alignment horizontal="right"/>
    </xf>
    <xf numFmtId="4" fontId="7" fillId="0" borderId="0" xfId="0" applyNumberFormat="1" applyFont="1"/>
    <xf numFmtId="164" fontId="7" fillId="0" borderId="0" xfId="1" applyNumberFormat="1" applyFont="1" applyFill="1"/>
    <xf numFmtId="2" fontId="7" fillId="0" borderId="9" xfId="0" applyNumberFormat="1" applyFont="1" applyBorder="1" applyAlignment="1">
      <alignment horizontal="right"/>
    </xf>
    <xf numFmtId="4" fontId="7" fillId="4" borderId="7" xfId="0" applyNumberFormat="1" applyFont="1" applyFill="1" applyBorder="1"/>
    <xf numFmtId="0" fontId="7" fillId="4" borderId="0" xfId="0" applyFont="1" applyFill="1" applyAlignment="1">
      <alignment horizontal="left" vertical="center" wrapText="1"/>
    </xf>
    <xf numFmtId="4" fontId="7" fillId="4" borderId="0" xfId="0" applyNumberFormat="1" applyFont="1" applyFill="1"/>
    <xf numFmtId="164" fontId="7" fillId="4" borderId="9" xfId="1" applyNumberFormat="1" applyFont="1" applyFill="1" applyBorder="1"/>
    <xf numFmtId="0" fontId="0" fillId="0" borderId="11" xfId="0" applyBorder="1"/>
    <xf numFmtId="0" fontId="12" fillId="0" borderId="0" xfId="0" applyFont="1" applyAlignment="1">
      <alignment horizontal="left"/>
    </xf>
    <xf numFmtId="3" fontId="7" fillId="4" borderId="7" xfId="0" applyNumberFormat="1" applyFont="1" applyFill="1" applyBorder="1" applyAlignment="1">
      <alignment horizontal="right"/>
    </xf>
    <xf numFmtId="3" fontId="7" fillId="4" borderId="0" xfId="0" applyNumberFormat="1" applyFont="1" applyFill="1" applyAlignment="1">
      <alignment horizontal="right"/>
    </xf>
    <xf numFmtId="3" fontId="7" fillId="0" borderId="7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2" fontId="7" fillId="0" borderId="7" xfId="0" applyNumberFormat="1" applyFont="1" applyBorder="1" applyAlignment="1">
      <alignment horizontal="right"/>
    </xf>
    <xf numFmtId="2" fontId="7" fillId="0" borderId="0" xfId="0" applyNumberFormat="1" applyFont="1" applyAlignment="1">
      <alignment horizontal="right"/>
    </xf>
    <xf numFmtId="164" fontId="7" fillId="0" borderId="9" xfId="1" applyNumberFormat="1" applyFont="1" applyFill="1" applyBorder="1"/>
    <xf numFmtId="0" fontId="2" fillId="0" borderId="0" xfId="0" applyFont="1"/>
    <xf numFmtId="164" fontId="13" fillId="4" borderId="7" xfId="1" applyNumberFormat="1" applyFont="1" applyFill="1" applyBorder="1" applyAlignment="1">
      <alignment horizontal="right"/>
    </xf>
    <xf numFmtId="164" fontId="13" fillId="4" borderId="0" xfId="1" applyNumberFormat="1" applyFont="1" applyFill="1" applyAlignment="1">
      <alignment horizontal="right"/>
    </xf>
    <xf numFmtId="164" fontId="13" fillId="4" borderId="9" xfId="1" applyNumberFormat="1" applyFont="1" applyFill="1" applyBorder="1" applyAlignment="1">
      <alignment horizontal="right"/>
    </xf>
    <xf numFmtId="164" fontId="13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 applyAlignment="1">
      <alignment horizontal="right"/>
    </xf>
    <xf numFmtId="164" fontId="7" fillId="4" borderId="0" xfId="1" applyNumberFormat="1" applyFont="1" applyFill="1" applyBorder="1"/>
    <xf numFmtId="0" fontId="14" fillId="0" borderId="0" xfId="0" applyFont="1"/>
    <xf numFmtId="164" fontId="7" fillId="0" borderId="9" xfId="1" applyNumberFormat="1" applyFont="1" applyFill="1" applyBorder="1" applyAlignment="1">
      <alignment horizontal="right"/>
    </xf>
    <xf numFmtId="0" fontId="8" fillId="0" borderId="3" xfId="0" applyFont="1" applyBorder="1" applyAlignment="1">
      <alignment vertical="center" readingOrder="1"/>
    </xf>
    <xf numFmtId="0" fontId="15" fillId="2" borderId="7" xfId="0" applyFont="1" applyFill="1" applyBorder="1"/>
    <xf numFmtId="3" fontId="7" fillId="2" borderId="7" xfId="0" applyNumberFormat="1" applyFont="1" applyFill="1" applyBorder="1"/>
    <xf numFmtId="164" fontId="7" fillId="2" borderId="7" xfId="1" applyNumberFormat="1" applyFont="1" applyFill="1" applyBorder="1"/>
    <xf numFmtId="0" fontId="0" fillId="0" borderId="0" xfId="0" applyAlignment="1">
      <alignment horizontal="left"/>
    </xf>
    <xf numFmtId="3" fontId="7" fillId="4" borderId="9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3" fontId="7" fillId="0" borderId="9" xfId="0" applyNumberFormat="1" applyFont="1" applyBorder="1"/>
    <xf numFmtId="164" fontId="7" fillId="0" borderId="9" xfId="1" applyNumberFormat="1" applyFont="1" applyBorder="1"/>
    <xf numFmtId="4" fontId="7" fillId="2" borderId="7" xfId="0" applyNumberFormat="1" applyFont="1" applyFill="1" applyBorder="1"/>
    <xf numFmtId="164" fontId="7" fillId="0" borderId="0" xfId="1" applyNumberFormat="1" applyFont="1" applyFill="1" applyBorder="1" applyAlignment="1">
      <alignment horizontal="right"/>
    </xf>
    <xf numFmtId="164" fontId="7" fillId="0" borderId="0" xfId="1" applyNumberFormat="1" applyFont="1" applyFill="1" applyBorder="1"/>
    <xf numFmtId="2" fontId="7" fillId="0" borderId="9" xfId="0" applyNumberFormat="1" applyFont="1" applyBorder="1"/>
    <xf numFmtId="4" fontId="7" fillId="0" borderId="9" xfId="0" applyNumberFormat="1" applyFont="1" applyBorder="1"/>
    <xf numFmtId="4" fontId="7" fillId="4" borderId="9" xfId="0" applyNumberFormat="1" applyFont="1" applyFill="1" applyBorder="1"/>
    <xf numFmtId="164" fontId="0" fillId="0" borderId="0" xfId="1" applyNumberFormat="1" applyFont="1"/>
    <xf numFmtId="164" fontId="7" fillId="0" borderId="7" xfId="1" applyNumberFormat="1" applyFont="1" applyBorder="1"/>
    <xf numFmtId="164" fontId="7" fillId="0" borderId="0" xfId="1" applyNumberFormat="1" applyFont="1" applyBorder="1"/>
    <xf numFmtId="0" fontId="8" fillId="0" borderId="3" xfId="3" applyFont="1" applyBorder="1" applyAlignment="1">
      <alignment vertical="center" readingOrder="1"/>
    </xf>
    <xf numFmtId="0" fontId="8" fillId="0" borderId="0" xfId="0" applyFont="1" applyAlignment="1">
      <alignment horizontal="left" vertical="center" wrapText="1" readingOrder="1"/>
    </xf>
    <xf numFmtId="0" fontId="8" fillId="0" borderId="15" xfId="0" applyFont="1" applyBorder="1" applyAlignment="1">
      <alignment horizontal="left" vertical="center" wrapText="1" readingOrder="1"/>
    </xf>
    <xf numFmtId="0" fontId="16" fillId="3" borderId="0" xfId="0" applyFont="1" applyFill="1" applyAlignment="1">
      <alignment horizontal="center" vertical="center" wrapText="1"/>
    </xf>
    <xf numFmtId="0" fontId="7" fillId="3" borderId="0" xfId="0" applyFont="1" applyFill="1" applyAlignment="1">
      <alignment horizontal="right" vertical="center"/>
    </xf>
    <xf numFmtId="0" fontId="7" fillId="3" borderId="0" xfId="0" applyFont="1" applyFill="1" applyAlignment="1">
      <alignment horizontal="right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7" fillId="3" borderId="18" xfId="0" applyFont="1" applyFill="1" applyBorder="1" applyAlignment="1">
      <alignment horizontal="right" vertical="center"/>
    </xf>
    <xf numFmtId="17" fontId="7" fillId="3" borderId="19" xfId="0" applyNumberFormat="1" applyFont="1" applyFill="1" applyBorder="1" applyAlignment="1">
      <alignment horizontal="right" vertical="center" wrapText="1"/>
    </xf>
    <xf numFmtId="0" fontId="17" fillId="2" borderId="20" xfId="0" applyFont="1" applyFill="1" applyBorder="1"/>
    <xf numFmtId="3" fontId="17" fillId="2" borderId="21" xfId="0" applyNumberFormat="1" applyFont="1" applyFill="1" applyBorder="1" applyAlignment="1">
      <alignment horizontal="right"/>
    </xf>
    <xf numFmtId="164" fontId="17" fillId="2" borderId="21" xfId="0" applyNumberFormat="1" applyFont="1" applyFill="1" applyBorder="1" applyAlignment="1">
      <alignment horizontal="right"/>
    </xf>
    <xf numFmtId="0" fontId="18" fillId="0" borderId="20" xfId="0" applyFont="1" applyBorder="1" applyAlignment="1">
      <alignment horizontal="left" indent="1"/>
    </xf>
    <xf numFmtId="3" fontId="18" fillId="0" borderId="20" xfId="0" applyNumberFormat="1" applyFont="1" applyBorder="1" applyAlignment="1">
      <alignment horizontal="right"/>
    </xf>
    <xf numFmtId="164" fontId="18" fillId="0" borderId="20" xfId="0" applyNumberFormat="1" applyFont="1" applyBorder="1" applyAlignment="1">
      <alignment horizontal="right"/>
    </xf>
    <xf numFmtId="0" fontId="7" fillId="0" borderId="0" xfId="0" applyFont="1" applyAlignment="1">
      <alignment horizontal="left" indent="2"/>
    </xf>
    <xf numFmtId="164" fontId="7" fillId="0" borderId="0" xfId="0" applyNumberFormat="1" applyFont="1" applyAlignment="1">
      <alignment horizontal="right"/>
    </xf>
    <xf numFmtId="3" fontId="17" fillId="2" borderId="20" xfId="0" applyNumberFormat="1" applyFont="1" applyFill="1" applyBorder="1" applyAlignment="1">
      <alignment horizontal="right"/>
    </xf>
    <xf numFmtId="164" fontId="17" fillId="2" borderId="20" xfId="0" applyNumberFormat="1" applyFont="1" applyFill="1" applyBorder="1" applyAlignment="1">
      <alignment horizontal="right"/>
    </xf>
    <xf numFmtId="0" fontId="7" fillId="0" borderId="22" xfId="0" applyFont="1" applyBorder="1"/>
    <xf numFmtId="3" fontId="7" fillId="0" borderId="22" xfId="0" applyNumberFormat="1" applyFont="1" applyBorder="1"/>
    <xf numFmtId="3" fontId="7" fillId="0" borderId="23" xfId="0" applyNumberFormat="1" applyFont="1" applyBorder="1"/>
    <xf numFmtId="164" fontId="7" fillId="0" borderId="22" xfId="0" applyNumberFormat="1" applyFont="1" applyBorder="1"/>
    <xf numFmtId="0" fontId="12" fillId="0" borderId="24" xfId="0" applyFont="1" applyBorder="1"/>
    <xf numFmtId="0" fontId="8" fillId="0" borderId="15" xfId="0" applyFont="1" applyBorder="1" applyAlignment="1">
      <alignment vertical="center" readingOrder="1"/>
    </xf>
    <xf numFmtId="3" fontId="8" fillId="0" borderId="15" xfId="0" applyNumberFormat="1" applyFont="1" applyBorder="1" applyAlignment="1">
      <alignment vertical="center" readingOrder="1"/>
    </xf>
    <xf numFmtId="0" fontId="19" fillId="0" borderId="0" xfId="0" applyFont="1" applyAlignment="1">
      <alignment vertical="center" readingOrder="1"/>
    </xf>
    <xf numFmtId="0" fontId="8" fillId="0" borderId="0" xfId="0" applyFont="1" applyAlignment="1">
      <alignment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3" fontId="15" fillId="3" borderId="29" xfId="0" applyNumberFormat="1" applyFont="1" applyFill="1" applyBorder="1" applyAlignment="1">
      <alignment horizontal="center" vertical="center" wrapText="1"/>
    </xf>
    <xf numFmtId="0" fontId="7" fillId="3" borderId="30" xfId="0" applyFont="1" applyFill="1" applyBorder="1" applyAlignment="1">
      <alignment horizontal="center" vertical="center" wrapText="1"/>
    </xf>
    <xf numFmtId="3" fontId="15" fillId="3" borderId="31" xfId="0" applyNumberFormat="1" applyFont="1" applyFill="1" applyBorder="1" applyAlignment="1">
      <alignment horizontal="center" vertical="center" wrapText="1"/>
    </xf>
    <xf numFmtId="0" fontId="7" fillId="0" borderId="0" xfId="0" applyFont="1" applyAlignment="1">
      <alignment horizontal="right"/>
    </xf>
    <xf numFmtId="3" fontId="7" fillId="0" borderId="32" xfId="0" applyNumberFormat="1" applyFont="1" applyBorder="1" applyAlignment="1">
      <alignment horizontal="right"/>
    </xf>
    <xf numFmtId="164" fontId="7" fillId="0" borderId="33" xfId="0" applyNumberFormat="1" applyFont="1" applyBorder="1" applyAlignment="1">
      <alignment horizontal="right"/>
    </xf>
    <xf numFmtId="0" fontId="22" fillId="0" borderId="34" xfId="4" applyNumberFormat="1" applyFont="1" applyBorder="1" applyAlignment="1" applyProtection="1">
      <alignment horizontal="center" vertical="center" wrapText="1"/>
      <protection hidden="1"/>
    </xf>
    <xf numFmtId="3" fontId="22" fillId="0" borderId="35" xfId="1" applyNumberFormat="1" applyFont="1" applyBorder="1" applyAlignment="1" applyProtection="1">
      <alignment vertical="center"/>
      <protection hidden="1"/>
    </xf>
    <xf numFmtId="164" fontId="22" fillId="0" borderId="36" xfId="4" applyNumberFormat="1" applyFont="1" applyBorder="1" applyAlignment="1" applyProtection="1">
      <alignment horizontal="right" vertical="center" wrapText="1"/>
      <protection hidden="1"/>
    </xf>
    <xf numFmtId="3" fontId="0" fillId="0" borderId="0" xfId="0" applyNumberFormat="1"/>
    <xf numFmtId="3" fontId="19" fillId="0" borderId="0" xfId="0" applyNumberFormat="1" applyFont="1" applyAlignment="1">
      <alignment vertical="center" readingOrder="1"/>
    </xf>
    <xf numFmtId="9" fontId="0" fillId="0" borderId="0" xfId="1" applyFont="1"/>
    <xf numFmtId="4" fontId="7" fillId="0" borderId="32" xfId="0" applyNumberFormat="1" applyFont="1" applyBorder="1" applyAlignment="1">
      <alignment horizontal="right"/>
    </xf>
    <xf numFmtId="164" fontId="12" fillId="0" borderId="24" xfId="1" applyNumberFormat="1" applyFont="1" applyBorder="1"/>
    <xf numFmtId="0" fontId="23" fillId="0" borderId="0" xfId="0" applyFont="1"/>
    <xf numFmtId="0" fontId="7" fillId="3" borderId="37" xfId="0" applyFont="1" applyFill="1" applyBorder="1" applyAlignment="1">
      <alignment horizontal="right" vertical="center" wrapText="1"/>
    </xf>
    <xf numFmtId="0" fontId="7" fillId="3" borderId="38" xfId="0" applyFont="1" applyFill="1" applyBorder="1" applyAlignment="1">
      <alignment horizontal="right" vertical="center"/>
    </xf>
    <xf numFmtId="0" fontId="7" fillId="3" borderId="16" xfId="0" applyFont="1" applyFill="1" applyBorder="1" applyAlignment="1">
      <alignment horizontal="right" vertical="center" wrapText="1"/>
    </xf>
    <xf numFmtId="0" fontId="22" fillId="2" borderId="0" xfId="0" applyFont="1" applyFill="1"/>
    <xf numFmtId="3" fontId="24" fillId="2" borderId="0" xfId="0" applyNumberFormat="1" applyFont="1" applyFill="1" applyAlignment="1">
      <alignment horizontal="right"/>
    </xf>
    <xf numFmtId="164" fontId="24" fillId="2" borderId="0" xfId="0" applyNumberFormat="1" applyFont="1" applyFill="1" applyAlignment="1">
      <alignment horizontal="right"/>
    </xf>
    <xf numFmtId="164" fontId="24" fillId="2" borderId="39" xfId="0" applyNumberFormat="1" applyFont="1" applyFill="1" applyBorder="1" applyAlignment="1">
      <alignment horizontal="right"/>
    </xf>
    <xf numFmtId="0" fontId="24" fillId="0" borderId="40" xfId="0" applyFont="1" applyBorder="1" applyAlignment="1">
      <alignment horizontal="left" indent="1"/>
    </xf>
    <xf numFmtId="3" fontId="24" fillId="0" borderId="40" xfId="0" applyNumberFormat="1" applyFont="1" applyBorder="1" applyAlignment="1">
      <alignment horizontal="right"/>
    </xf>
    <xf numFmtId="164" fontId="24" fillId="0" borderId="40" xfId="0" applyNumberFormat="1" applyFont="1" applyBorder="1" applyAlignment="1">
      <alignment horizontal="right"/>
    </xf>
    <xf numFmtId="0" fontId="24" fillId="0" borderId="0" xfId="0" applyFont="1" applyAlignment="1">
      <alignment horizontal="left" indent="1"/>
    </xf>
    <xf numFmtId="3" fontId="24" fillId="0" borderId="0" xfId="0" applyNumberFormat="1" applyFont="1" applyAlignment="1">
      <alignment horizontal="right"/>
    </xf>
    <xf numFmtId="164" fontId="24" fillId="0" borderId="0" xfId="0" applyNumberFormat="1" applyFont="1" applyAlignment="1">
      <alignment horizontal="right"/>
    </xf>
    <xf numFmtId="164" fontId="3" fillId="0" borderId="0" xfId="1" applyNumberFormat="1" applyFont="1"/>
    <xf numFmtId="0" fontId="8" fillId="0" borderId="3" xfId="0" applyFont="1" applyBorder="1" applyAlignment="1">
      <alignment horizontal="left" vertical="center" readingOrder="1"/>
    </xf>
    <xf numFmtId="0" fontId="8" fillId="0" borderId="3" xfId="0" applyFont="1" applyBorder="1" applyAlignment="1">
      <alignment vertical="center" wrapText="1" readingOrder="1"/>
    </xf>
    <xf numFmtId="0" fontId="0" fillId="3" borderId="6" xfId="0" applyFill="1" applyBorder="1"/>
    <xf numFmtId="0" fontId="0" fillId="0" borderId="0" xfId="0" applyAlignment="1">
      <alignment wrapText="1"/>
    </xf>
    <xf numFmtId="0" fontId="25" fillId="3" borderId="10" xfId="0" applyFont="1" applyFill="1" applyBorder="1" applyAlignment="1">
      <alignment horizontal="center" vertical="center" wrapText="1"/>
    </xf>
    <xf numFmtId="1" fontId="7" fillId="3" borderId="43" xfId="0" applyNumberFormat="1" applyFont="1" applyFill="1" applyBorder="1" applyAlignment="1">
      <alignment horizontal="right" vertical="center" wrapText="1"/>
    </xf>
    <xf numFmtId="1" fontId="7" fillId="3" borderId="44" xfId="0" applyNumberFormat="1" applyFont="1" applyFill="1" applyBorder="1" applyAlignment="1">
      <alignment horizontal="right" vertical="center" wrapText="1"/>
    </xf>
    <xf numFmtId="164" fontId="7" fillId="3" borderId="45" xfId="0" applyNumberFormat="1" applyFont="1" applyFill="1" applyBorder="1" applyAlignment="1">
      <alignment horizontal="right" vertical="center" wrapText="1"/>
    </xf>
    <xf numFmtId="3" fontId="7" fillId="3" borderId="46" xfId="0" applyNumberFormat="1" applyFont="1" applyFill="1" applyBorder="1" applyAlignment="1">
      <alignment horizontal="right" vertical="center" wrapText="1"/>
    </xf>
    <xf numFmtId="0" fontId="17" fillId="2" borderId="6" xfId="0" applyFont="1" applyFill="1" applyBorder="1"/>
    <xf numFmtId="3" fontId="17" fillId="2" borderId="7" xfId="0" applyNumberFormat="1" applyFont="1" applyFill="1" applyBorder="1" applyAlignment="1">
      <alignment horizontal="right"/>
    </xf>
    <xf numFmtId="164" fontId="17" fillId="2" borderId="7" xfId="0" applyNumberFormat="1" applyFont="1" applyFill="1" applyBorder="1" applyAlignment="1">
      <alignment horizontal="right"/>
    </xf>
    <xf numFmtId="0" fontId="17" fillId="2" borderId="8" xfId="0" applyFont="1" applyFill="1" applyBorder="1"/>
    <xf numFmtId="0" fontId="17" fillId="0" borderId="8" xfId="0" applyFont="1" applyBorder="1"/>
    <xf numFmtId="3" fontId="17" fillId="0" borderId="47" xfId="0" applyNumberFormat="1" applyFont="1" applyBorder="1" applyAlignment="1">
      <alignment horizontal="right"/>
    </xf>
    <xf numFmtId="164" fontId="17" fillId="0" borderId="48" xfId="0" applyNumberFormat="1" applyFont="1" applyBorder="1" applyAlignment="1">
      <alignment horizontal="right"/>
    </xf>
    <xf numFmtId="0" fontId="18" fillId="0" borderId="8" xfId="0" applyFont="1" applyBorder="1"/>
    <xf numFmtId="3" fontId="18" fillId="0" borderId="47" xfId="0" applyNumberFormat="1" applyFont="1" applyBorder="1" applyAlignment="1">
      <alignment horizontal="right"/>
    </xf>
    <xf numFmtId="164" fontId="18" fillId="0" borderId="48" xfId="0" applyNumberFormat="1" applyFont="1" applyBorder="1" applyAlignment="1">
      <alignment horizontal="right"/>
    </xf>
    <xf numFmtId="0" fontId="3" fillId="0" borderId="8" xfId="0" applyFont="1" applyBorder="1"/>
    <xf numFmtId="0" fontId="7" fillId="0" borderId="8" xfId="0" applyFont="1" applyBorder="1"/>
    <xf numFmtId="3" fontId="7" fillId="0" borderId="47" xfId="0" applyNumberFormat="1" applyFont="1" applyBorder="1" applyAlignment="1">
      <alignment horizontal="right"/>
    </xf>
    <xf numFmtId="164" fontId="7" fillId="0" borderId="48" xfId="0" applyNumberFormat="1" applyFont="1" applyBorder="1" applyAlignment="1">
      <alignment horizontal="right"/>
    </xf>
    <xf numFmtId="164" fontId="2" fillId="0" borderId="0" xfId="1" applyNumberFormat="1" applyFont="1"/>
    <xf numFmtId="0" fontId="3" fillId="0" borderId="10" xfId="0" applyFont="1" applyBorder="1"/>
    <xf numFmtId="0" fontId="7" fillId="0" borderId="10" xfId="0" applyFont="1" applyBorder="1"/>
    <xf numFmtId="3" fontId="7" fillId="0" borderId="49" xfId="0" applyNumberFormat="1" applyFont="1" applyBorder="1" applyAlignment="1">
      <alignment horizontal="right"/>
    </xf>
    <xf numFmtId="164" fontId="7" fillId="0" borderId="50" xfId="0" applyNumberFormat="1" applyFont="1" applyBorder="1" applyAlignment="1">
      <alignment horizontal="right"/>
    </xf>
    <xf numFmtId="0" fontId="12" fillId="0" borderId="0" xfId="0" applyFont="1"/>
    <xf numFmtId="3" fontId="7" fillId="3" borderId="53" xfId="0" applyNumberFormat="1" applyFont="1" applyFill="1" applyBorder="1" applyAlignment="1">
      <alignment horizontal="right" vertical="center" wrapText="1"/>
    </xf>
    <xf numFmtId="164" fontId="7" fillId="3" borderId="54" xfId="0" applyNumberFormat="1" applyFont="1" applyFill="1" applyBorder="1" applyAlignment="1">
      <alignment horizontal="right" vertical="center" wrapText="1"/>
    </xf>
    <xf numFmtId="3" fontId="17" fillId="2" borderId="0" xfId="0" applyNumberFormat="1" applyFont="1" applyFill="1" applyAlignment="1">
      <alignment horizontal="right"/>
    </xf>
    <xf numFmtId="164" fontId="17" fillId="2" borderId="0" xfId="0" applyNumberFormat="1" applyFont="1" applyFill="1" applyAlignment="1">
      <alignment horizontal="right"/>
    </xf>
    <xf numFmtId="3" fontId="17" fillId="0" borderId="55" xfId="0" applyNumberFormat="1" applyFont="1" applyBorder="1" applyAlignment="1">
      <alignment horizontal="right"/>
    </xf>
    <xf numFmtId="164" fontId="17" fillId="0" borderId="56" xfId="0" applyNumberFormat="1" applyFont="1" applyBorder="1" applyAlignment="1">
      <alignment horizontal="right"/>
    </xf>
    <xf numFmtId="164" fontId="18" fillId="0" borderId="48" xfId="1" applyNumberFormat="1" applyFont="1" applyBorder="1" applyAlignment="1">
      <alignment horizontal="right"/>
    </xf>
    <xf numFmtId="164" fontId="7" fillId="0" borderId="48" xfId="1" applyNumberFormat="1" applyFont="1" applyBorder="1" applyAlignment="1">
      <alignment horizontal="right"/>
    </xf>
    <xf numFmtId="164" fontId="7" fillId="0" borderId="50" xfId="1" applyNumberFormat="1" applyFont="1" applyBorder="1" applyAlignment="1">
      <alignment horizontal="right"/>
    </xf>
    <xf numFmtId="0" fontId="18" fillId="0" borderId="8" xfId="0" applyFont="1" applyBorder="1" applyAlignment="1">
      <alignment horizontal="right"/>
    </xf>
    <xf numFmtId="0" fontId="7" fillId="0" borderId="8" xfId="0" applyFont="1" applyBorder="1" applyAlignment="1">
      <alignment horizontal="right"/>
    </xf>
    <xf numFmtId="0" fontId="7" fillId="0" borderId="10" xfId="0" applyFont="1" applyBorder="1" applyAlignment="1">
      <alignment horizontal="right"/>
    </xf>
    <xf numFmtId="0" fontId="0" fillId="3" borderId="8" xfId="0" applyFill="1" applyBorder="1"/>
    <xf numFmtId="1" fontId="7" fillId="3" borderId="53" xfId="0" applyNumberFormat="1" applyFont="1" applyFill="1" applyBorder="1" applyAlignment="1">
      <alignment horizontal="right" vertical="center" wrapText="1"/>
    </xf>
    <xf numFmtId="0" fontId="25" fillId="3" borderId="8" xfId="0" applyFont="1" applyFill="1" applyBorder="1" applyAlignment="1">
      <alignment horizontal="center" vertical="center" wrapText="1"/>
    </xf>
    <xf numFmtId="2" fontId="7" fillId="0" borderId="32" xfId="0" applyNumberFormat="1" applyFont="1" applyBorder="1" applyAlignment="1">
      <alignment horizontal="right"/>
    </xf>
    <xf numFmtId="2" fontId="7" fillId="0" borderId="33" xfId="0" applyNumberFormat="1" applyFont="1" applyBorder="1" applyAlignment="1">
      <alignment horizontal="right"/>
    </xf>
    <xf numFmtId="2" fontId="22" fillId="0" borderId="35" xfId="1" applyNumberFormat="1" applyFont="1" applyBorder="1" applyAlignment="1" applyProtection="1">
      <alignment vertical="center"/>
      <protection hidden="1"/>
    </xf>
    <xf numFmtId="2" fontId="22" fillId="0" borderId="36" xfId="4" applyNumberFormat="1" applyFont="1" applyBorder="1" applyAlignment="1" applyProtection="1">
      <alignment horizontal="right" vertical="center" wrapText="1"/>
      <protection hidden="1"/>
    </xf>
    <xf numFmtId="2" fontId="8" fillId="0" borderId="15" xfId="0" applyNumberFormat="1" applyFont="1" applyBorder="1" applyAlignment="1">
      <alignment vertical="center" readingOrder="1"/>
    </xf>
    <xf numFmtId="2" fontId="0" fillId="0" borderId="0" xfId="0" applyNumberFormat="1"/>
    <xf numFmtId="2" fontId="12" fillId="0" borderId="24" xfId="0" applyNumberFormat="1" applyFont="1" applyBorder="1"/>
    <xf numFmtId="2" fontId="0" fillId="0" borderId="0" xfId="1" applyNumberFormat="1" applyFont="1"/>
    <xf numFmtId="0" fontId="26" fillId="0" borderId="0" xfId="0" applyFont="1"/>
    <xf numFmtId="164" fontId="7" fillId="0" borderId="32" xfId="1" applyNumberFormat="1" applyFont="1" applyBorder="1" applyAlignment="1">
      <alignment horizontal="right"/>
    </xf>
    <xf numFmtId="10" fontId="0" fillId="0" borderId="0" xfId="1" applyNumberFormat="1" applyFont="1"/>
    <xf numFmtId="164" fontId="22" fillId="0" borderId="35" xfId="1" applyNumberFormat="1" applyFont="1" applyBorder="1" applyAlignment="1" applyProtection="1">
      <alignment vertical="center"/>
      <protection hidden="1"/>
    </xf>
    <xf numFmtId="164" fontId="0" fillId="0" borderId="0" xfId="0" applyNumberFormat="1"/>
    <xf numFmtId="164" fontId="27" fillId="0" borderId="35" xfId="1" applyNumberFormat="1" applyFont="1" applyBorder="1" applyAlignment="1" applyProtection="1">
      <alignment vertical="center"/>
      <protection hidden="1"/>
    </xf>
    <xf numFmtId="164" fontId="27" fillId="0" borderId="36" xfId="4" applyNumberFormat="1" applyFont="1" applyBorder="1" applyAlignment="1" applyProtection="1">
      <alignment horizontal="right" vertical="center" wrapText="1"/>
      <protection hidden="1"/>
    </xf>
    <xf numFmtId="164" fontId="27" fillId="0" borderId="35" xfId="1" applyNumberFormat="1" applyFont="1" applyBorder="1" applyAlignment="1" applyProtection="1">
      <alignment horizontal="right" vertical="center"/>
      <protection hidden="1"/>
    </xf>
    <xf numFmtId="165" fontId="0" fillId="0" borderId="0" xfId="0" applyNumberFormat="1"/>
    <xf numFmtId="17" fontId="7" fillId="3" borderId="57" xfId="0" applyNumberFormat="1" applyFont="1" applyFill="1" applyBorder="1" applyAlignment="1">
      <alignment horizontal="right" vertical="center" wrapText="1"/>
    </xf>
    <xf numFmtId="17" fontId="7" fillId="3" borderId="58" xfId="0" applyNumberFormat="1" applyFont="1" applyFill="1" applyBorder="1" applyAlignment="1">
      <alignment horizontal="right" vertical="center" wrapText="1"/>
    </xf>
    <xf numFmtId="0" fontId="7" fillId="3" borderId="59" xfId="0" applyFont="1" applyFill="1" applyBorder="1" applyAlignment="1">
      <alignment horizontal="right" vertical="center" wrapText="1"/>
    </xf>
    <xf numFmtId="164" fontId="7" fillId="3" borderId="0" xfId="0" applyNumberFormat="1" applyFont="1" applyFill="1" applyAlignment="1">
      <alignment horizontal="right" vertical="center"/>
    </xf>
    <xf numFmtId="0" fontId="17" fillId="2" borderId="7" xfId="0" applyFont="1" applyFill="1" applyBorder="1"/>
    <xf numFmtId="165" fontId="24" fillId="2" borderId="60" xfId="1" applyNumberFormat="1" applyFont="1" applyFill="1" applyBorder="1" applyAlignment="1">
      <alignment horizontal="right"/>
    </xf>
    <xf numFmtId="165" fontId="24" fillId="2" borderId="0" xfId="0" applyNumberFormat="1" applyFont="1" applyFill="1" applyAlignment="1">
      <alignment horizontal="right"/>
    </xf>
    <xf numFmtId="165" fontId="24" fillId="2" borderId="0" xfId="1" applyNumberFormat="1" applyFont="1" applyFill="1" applyBorder="1" applyAlignment="1">
      <alignment horizontal="right"/>
    </xf>
    <xf numFmtId="165" fontId="24" fillId="2" borderId="39" xfId="1" applyNumberFormat="1" applyFont="1" applyFill="1" applyBorder="1" applyAlignment="1">
      <alignment horizontal="right"/>
    </xf>
    <xf numFmtId="3" fontId="24" fillId="2" borderId="60" xfId="0" applyNumberFormat="1" applyFont="1" applyFill="1" applyBorder="1" applyAlignment="1">
      <alignment horizontal="right"/>
    </xf>
    <xf numFmtId="166" fontId="24" fillId="2" borderId="60" xfId="1" applyNumberFormat="1" applyFont="1" applyFill="1" applyBorder="1" applyAlignment="1">
      <alignment horizontal="right"/>
    </xf>
    <xf numFmtId="166" fontId="24" fillId="2" borderId="39" xfId="1" applyNumberFormat="1" applyFont="1" applyFill="1" applyBorder="1" applyAlignment="1">
      <alignment horizontal="right"/>
    </xf>
    <xf numFmtId="165" fontId="7" fillId="0" borderId="13" xfId="1" applyNumberFormat="1" applyFont="1" applyBorder="1" applyAlignment="1">
      <alignment horizontal="right"/>
    </xf>
    <xf numFmtId="165" fontId="7" fillId="0" borderId="0" xfId="1" applyNumberFormat="1" applyFont="1" applyBorder="1" applyAlignment="1">
      <alignment horizontal="right"/>
    </xf>
    <xf numFmtId="3" fontId="7" fillId="0" borderId="13" xfId="0" applyNumberFormat="1" applyFont="1" applyBorder="1" applyAlignment="1">
      <alignment horizontal="right"/>
    </xf>
    <xf numFmtId="166" fontId="7" fillId="0" borderId="13" xfId="1" applyNumberFormat="1" applyFont="1" applyBorder="1" applyAlignment="1">
      <alignment horizontal="right"/>
    </xf>
    <xf numFmtId="166" fontId="7" fillId="0" borderId="0" xfId="1" applyNumberFormat="1" applyFont="1" applyBorder="1" applyAlignment="1">
      <alignment horizontal="right"/>
    </xf>
    <xf numFmtId="164" fontId="7" fillId="0" borderId="0" xfId="0" applyNumberFormat="1" applyFont="1"/>
    <xf numFmtId="0" fontId="12" fillId="0" borderId="0" xfId="0" applyFont="1" applyAlignment="1">
      <alignment wrapText="1"/>
    </xf>
    <xf numFmtId="0" fontId="16" fillId="0" borderId="0" xfId="0" applyFont="1" applyAlignment="1">
      <alignment wrapText="1"/>
    </xf>
    <xf numFmtId="0" fontId="7" fillId="0" borderId="0" xfId="0" applyFont="1" applyAlignment="1">
      <alignment wrapText="1"/>
    </xf>
    <xf numFmtId="167" fontId="17" fillId="2" borderId="21" xfId="0" applyNumberFormat="1" applyFont="1" applyFill="1" applyBorder="1" applyAlignment="1">
      <alignment horizontal="right"/>
    </xf>
    <xf numFmtId="167" fontId="17" fillId="2" borderId="21" xfId="1" applyNumberFormat="1" applyFont="1" applyFill="1" applyBorder="1" applyAlignment="1">
      <alignment horizontal="right"/>
    </xf>
    <xf numFmtId="167" fontId="18" fillId="0" borderId="20" xfId="0" applyNumberFormat="1" applyFont="1" applyBorder="1" applyAlignment="1">
      <alignment horizontal="right"/>
    </xf>
    <xf numFmtId="167" fontId="18" fillId="0" borderId="20" xfId="1" applyNumberFormat="1" applyFont="1" applyBorder="1" applyAlignment="1">
      <alignment horizontal="right"/>
    </xf>
    <xf numFmtId="167" fontId="7" fillId="0" borderId="0" xfId="0" applyNumberFormat="1" applyFont="1" applyAlignment="1">
      <alignment horizontal="right"/>
    </xf>
    <xf numFmtId="167" fontId="7" fillId="0" borderId="0" xfId="1" applyNumberFormat="1" applyFont="1" applyAlignment="1">
      <alignment horizontal="right"/>
    </xf>
    <xf numFmtId="167" fontId="17" fillId="2" borderId="20" xfId="0" applyNumberFormat="1" applyFont="1" applyFill="1" applyBorder="1" applyAlignment="1">
      <alignment horizontal="right"/>
    </xf>
    <xf numFmtId="167" fontId="17" fillId="2" borderId="20" xfId="1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10" fillId="4" borderId="11" xfId="0" applyFont="1" applyFill="1" applyBorder="1"/>
    <xf numFmtId="3" fontId="22" fillId="4" borderId="11" xfId="0" applyNumberFormat="1" applyFont="1" applyFill="1" applyBorder="1" applyAlignment="1">
      <alignment horizontal="right" vertical="center" wrapText="1"/>
    </xf>
    <xf numFmtId="164" fontId="22" fillId="4" borderId="11" xfId="1" applyNumberFormat="1" applyFont="1" applyFill="1" applyBorder="1" applyAlignment="1">
      <alignment horizontal="right" vertical="center" wrapText="1"/>
    </xf>
    <xf numFmtId="0" fontId="24" fillId="0" borderId="11" xfId="0" applyFont="1" applyBorder="1"/>
    <xf numFmtId="3" fontId="18" fillId="0" borderId="11" xfId="0" applyNumberFormat="1" applyFont="1" applyBorder="1" applyAlignment="1">
      <alignment horizontal="right" vertical="center" wrapText="1"/>
    </xf>
    <xf numFmtId="164" fontId="18" fillId="0" borderId="11" xfId="1" applyNumberFormat="1" applyFont="1" applyBorder="1" applyAlignment="1">
      <alignment horizontal="right" vertical="center" wrapText="1"/>
    </xf>
    <xf numFmtId="0" fontId="15" fillId="0" borderId="7" xfId="0" applyFont="1" applyBorder="1"/>
    <xf numFmtId="3" fontId="15" fillId="0" borderId="0" xfId="0" applyNumberFormat="1" applyFont="1"/>
    <xf numFmtId="164" fontId="15" fillId="4" borderId="7" xfId="1" applyNumberFormat="1" applyFont="1" applyFill="1" applyBorder="1"/>
    <xf numFmtId="3" fontId="15" fillId="4" borderId="7" xfId="0" applyNumberFormat="1" applyFont="1" applyFill="1" applyBorder="1"/>
    <xf numFmtId="164" fontId="15" fillId="0" borderId="7" xfId="1" applyNumberFormat="1" applyFont="1" applyBorder="1"/>
    <xf numFmtId="0" fontId="7" fillId="0" borderId="0" xfId="0" applyFont="1" applyAlignment="1">
      <alignment horizontal="left" indent="1"/>
    </xf>
    <xf numFmtId="0" fontId="7" fillId="0" borderId="61" xfId="0" applyFont="1" applyBorder="1"/>
    <xf numFmtId="3" fontId="22" fillId="4" borderId="0" xfId="0" applyNumberFormat="1" applyFont="1" applyFill="1" applyAlignment="1">
      <alignment horizontal="right" vertical="center" wrapText="1"/>
    </xf>
    <xf numFmtId="3" fontId="18" fillId="0" borderId="0" xfId="0" applyNumberFormat="1" applyFont="1" applyAlignment="1">
      <alignment horizontal="right" vertical="center" wrapText="1"/>
    </xf>
    <xf numFmtId="0" fontId="15" fillId="0" borderId="0" xfId="0" applyFont="1"/>
    <xf numFmtId="3" fontId="15" fillId="4" borderId="0" xfId="0" applyNumberFormat="1" applyFont="1" applyFill="1"/>
    <xf numFmtId="3" fontId="7" fillId="3" borderId="6" xfId="0" applyNumberFormat="1" applyFont="1" applyFill="1" applyBorder="1" applyAlignment="1">
      <alignment horizontal="right" vertical="center" wrapText="1"/>
    </xf>
    <xf numFmtId="164" fontId="7" fillId="3" borderId="6" xfId="0" applyNumberFormat="1" applyFont="1" applyFill="1" applyBorder="1" applyAlignment="1">
      <alignment horizontal="right" vertical="center" wrapText="1"/>
    </xf>
    <xf numFmtId="3" fontId="22" fillId="4" borderId="62" xfId="0" applyNumberFormat="1" applyFont="1" applyFill="1" applyBorder="1" applyAlignment="1">
      <alignment horizontal="right" vertical="center" wrapText="1"/>
    </xf>
    <xf numFmtId="164" fontId="22" fillId="4" borderId="62" xfId="1" applyNumberFormat="1" applyFont="1" applyFill="1" applyBorder="1" applyAlignment="1">
      <alignment horizontal="right" vertical="center" wrapText="1"/>
    </xf>
    <xf numFmtId="0" fontId="28" fillId="0" borderId="0" xfId="0" applyFont="1" applyAlignment="1">
      <alignment horizontal="left" indent="1"/>
    </xf>
    <xf numFmtId="3" fontId="28" fillId="0" borderId="8" xfId="0" applyNumberFormat="1" applyFont="1" applyBorder="1"/>
    <xf numFmtId="164" fontId="28" fillId="0" borderId="8" xfId="1" applyNumberFormat="1" applyFont="1" applyBorder="1"/>
    <xf numFmtId="164" fontId="28" fillId="4" borderId="8" xfId="1" applyNumberFormat="1" applyFont="1" applyFill="1" applyBorder="1"/>
    <xf numFmtId="3" fontId="28" fillId="4" borderId="8" xfId="0" applyNumberFormat="1" applyFont="1" applyFill="1" applyBorder="1"/>
    <xf numFmtId="164" fontId="28" fillId="4" borderId="8" xfId="1" applyNumberFormat="1" applyFont="1" applyFill="1" applyBorder="1" applyAlignment="1">
      <alignment horizontal="right"/>
    </xf>
    <xf numFmtId="3" fontId="28" fillId="4" borderId="8" xfId="0" applyNumberFormat="1" applyFont="1" applyFill="1" applyBorder="1" applyAlignment="1">
      <alignment horizontal="right"/>
    </xf>
    <xf numFmtId="3" fontId="7" fillId="0" borderId="8" xfId="0" applyNumberFormat="1" applyFont="1" applyBorder="1"/>
    <xf numFmtId="164" fontId="15" fillId="0" borderId="8" xfId="1" applyNumberFormat="1" applyFont="1" applyBorder="1"/>
    <xf numFmtId="164" fontId="15" fillId="4" borderId="8" xfId="1" applyNumberFormat="1" applyFont="1" applyFill="1" applyBorder="1" applyAlignment="1">
      <alignment horizontal="right"/>
    </xf>
    <xf numFmtId="3" fontId="15" fillId="4" borderId="8" xfId="0" applyNumberFormat="1" applyFont="1" applyFill="1" applyBorder="1"/>
    <xf numFmtId="164" fontId="7" fillId="4" borderId="8" xfId="1" applyNumberFormat="1" applyFont="1" applyFill="1" applyBorder="1" applyAlignment="1">
      <alignment horizontal="right"/>
    </xf>
    <xf numFmtId="3" fontId="7" fillId="4" borderId="8" xfId="0" applyNumberFormat="1" applyFont="1" applyFill="1" applyBorder="1" applyAlignment="1">
      <alignment horizontal="right"/>
    </xf>
    <xf numFmtId="164" fontId="7" fillId="0" borderId="8" xfId="1" applyNumberFormat="1" applyFont="1" applyBorder="1"/>
    <xf numFmtId="3" fontId="7" fillId="4" borderId="8" xfId="0" applyNumberFormat="1" applyFont="1" applyFill="1" applyBorder="1"/>
    <xf numFmtId="164" fontId="7" fillId="4" borderId="8" xfId="1" applyNumberFormat="1" applyFont="1" applyFill="1" applyBorder="1"/>
    <xf numFmtId="3" fontId="28" fillId="0" borderId="8" xfId="0" applyNumberFormat="1" applyFont="1" applyBorder="1" applyAlignment="1">
      <alignment horizontal="right"/>
    </xf>
    <xf numFmtId="164" fontId="28" fillId="0" borderId="8" xfId="1" applyNumberFormat="1" applyFont="1" applyBorder="1" applyAlignment="1">
      <alignment horizontal="right"/>
    </xf>
    <xf numFmtId="0" fontId="7" fillId="0" borderId="61" xfId="0" applyFont="1" applyBorder="1" applyAlignment="1">
      <alignment horizontal="right"/>
    </xf>
    <xf numFmtId="164" fontId="15" fillId="4" borderId="8" xfId="1" applyNumberFormat="1" applyFont="1" applyFill="1" applyBorder="1"/>
    <xf numFmtId="3" fontId="7" fillId="4" borderId="8" xfId="1" applyNumberFormat="1" applyFont="1" applyFill="1" applyBorder="1"/>
    <xf numFmtId="3" fontId="15" fillId="4" borderId="8" xfId="1" applyNumberFormat="1" applyFont="1" applyFill="1" applyBorder="1"/>
    <xf numFmtId="0" fontId="8" fillId="0" borderId="3" xfId="0" applyFont="1" applyBorder="1" applyAlignment="1">
      <alignment horizontal="left" vertical="center" wrapText="1" readingOrder="1"/>
    </xf>
    <xf numFmtId="0" fontId="11" fillId="4" borderId="6" xfId="0" applyFont="1" applyFill="1" applyBorder="1" applyAlignment="1">
      <alignment horizontal="center" vertical="center" textRotation="90"/>
    </xf>
    <xf numFmtId="0" fontId="11" fillId="4" borderId="8" xfId="0" applyFont="1" applyFill="1" applyBorder="1" applyAlignment="1">
      <alignment horizontal="center" vertical="center" textRotation="90"/>
    </xf>
    <xf numFmtId="0" fontId="11" fillId="4" borderId="10" xfId="0" applyFont="1" applyFill="1" applyBorder="1" applyAlignment="1">
      <alignment horizontal="center" vertical="center" textRotation="90"/>
    </xf>
    <xf numFmtId="0" fontId="7" fillId="4" borderId="7" xfId="0" applyFont="1" applyFill="1" applyBorder="1" applyAlignment="1">
      <alignment horizontal="left" vertical="center"/>
    </xf>
    <xf numFmtId="0" fontId="7" fillId="4" borderId="0" xfId="0" applyFont="1" applyFill="1" applyAlignment="1">
      <alignment horizontal="left" vertical="center"/>
    </xf>
    <xf numFmtId="0" fontId="7" fillId="4" borderId="9" xfId="0" applyFont="1" applyFill="1" applyBorder="1" applyAlignment="1">
      <alignment horizontal="left" vertical="center"/>
    </xf>
    <xf numFmtId="0" fontId="7" fillId="0" borderId="7" xfId="0" applyFont="1" applyBorder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7" fillId="0" borderId="9" xfId="0" applyFont="1" applyBorder="1" applyAlignment="1">
      <alignment horizontal="left" vertical="center"/>
    </xf>
    <xf numFmtId="0" fontId="7" fillId="4" borderId="7" xfId="0" applyFont="1" applyFill="1" applyBorder="1" applyAlignment="1">
      <alignment horizontal="left" vertical="center" wrapText="1"/>
    </xf>
    <xf numFmtId="0" fontId="7" fillId="4" borderId="0" xfId="0" applyFont="1" applyFill="1" applyAlignment="1">
      <alignment horizontal="left" vertic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0" borderId="7" xfId="0" applyFont="1" applyBorder="1" applyAlignment="1">
      <alignment horizontal="left" vertical="center" wrapText="1"/>
    </xf>
    <xf numFmtId="0" fontId="7" fillId="0" borderId="0" xfId="0" applyFont="1" applyAlignment="1">
      <alignment horizontal="left" vertical="center" wrapText="1"/>
    </xf>
    <xf numFmtId="0" fontId="7" fillId="0" borderId="9" xfId="0" applyFont="1" applyBorder="1" applyAlignment="1">
      <alignment horizontal="left" vertical="center" wrapText="1"/>
    </xf>
    <xf numFmtId="0" fontId="7" fillId="0" borderId="11" xfId="0" applyFont="1" applyBorder="1" applyAlignment="1">
      <alignment horizontal="center"/>
    </xf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left"/>
    </xf>
    <xf numFmtId="0" fontId="2" fillId="0" borderId="0" xfId="0" applyFont="1" applyAlignment="1">
      <alignment horizontal="left" wrapText="1"/>
    </xf>
    <xf numFmtId="0" fontId="7" fillId="0" borderId="12" xfId="0" applyFont="1" applyBorder="1" applyAlignment="1">
      <alignment horizontal="center" vertical="center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 wrapText="1"/>
    </xf>
    <xf numFmtId="17" fontId="7" fillId="3" borderId="0" xfId="0" applyNumberFormat="1" applyFont="1" applyFill="1" applyAlignment="1">
      <alignment horizontal="center" vertical="center" wrapText="1"/>
    </xf>
    <xf numFmtId="3" fontId="20" fillId="3" borderId="25" xfId="0" applyNumberFormat="1" applyFont="1" applyFill="1" applyBorder="1" applyAlignment="1">
      <alignment horizontal="center" vertical="center" readingOrder="1"/>
    </xf>
    <xf numFmtId="3" fontId="20" fillId="3" borderId="26" xfId="0" applyNumberFormat="1" applyFont="1" applyFill="1" applyBorder="1" applyAlignment="1">
      <alignment horizontal="center" vertical="center" readingOrder="1"/>
    </xf>
    <xf numFmtId="0" fontId="15" fillId="3" borderId="25" xfId="0" applyFont="1" applyFill="1" applyBorder="1" applyAlignment="1">
      <alignment horizontal="center" vertical="center" wrapText="1"/>
    </xf>
    <xf numFmtId="0" fontId="15" fillId="3" borderId="27" xfId="0" applyFont="1" applyFill="1" applyBorder="1" applyAlignment="1">
      <alignment horizontal="center" vertical="center" wrapText="1"/>
    </xf>
    <xf numFmtId="0" fontId="15" fillId="3" borderId="28" xfId="0" applyFont="1" applyFill="1" applyBorder="1" applyAlignment="1">
      <alignment horizontal="center" vertical="center" wrapText="1"/>
    </xf>
    <xf numFmtId="0" fontId="15" fillId="3" borderId="26" xfId="0" applyFont="1" applyFill="1" applyBorder="1" applyAlignment="1">
      <alignment horizontal="center" vertical="center" wrapText="1"/>
    </xf>
    <xf numFmtId="0" fontId="9" fillId="3" borderId="41" xfId="0" applyFont="1" applyFill="1" applyBorder="1" applyAlignment="1">
      <alignment horizontal="center"/>
    </xf>
    <xf numFmtId="0" fontId="9" fillId="3" borderId="42" xfId="0" applyFont="1" applyFill="1" applyBorder="1" applyAlignment="1">
      <alignment horizontal="center"/>
    </xf>
    <xf numFmtId="0" fontId="9" fillId="3" borderId="51" xfId="0" applyFont="1" applyFill="1" applyBorder="1" applyAlignment="1">
      <alignment horizontal="center"/>
    </xf>
    <xf numFmtId="0" fontId="9" fillId="3" borderId="52" xfId="0" applyFont="1" applyFill="1" applyBorder="1" applyAlignment="1">
      <alignment horizontal="center"/>
    </xf>
    <xf numFmtId="2" fontId="20" fillId="3" borderId="25" xfId="0" applyNumberFormat="1" applyFont="1" applyFill="1" applyBorder="1" applyAlignment="1">
      <alignment horizontal="center" vertical="center" readingOrder="1"/>
    </xf>
    <xf numFmtId="2" fontId="20" fillId="3" borderId="26" xfId="0" applyNumberFormat="1" applyFont="1" applyFill="1" applyBorder="1" applyAlignment="1">
      <alignment horizontal="center" vertical="center" readingOrder="1"/>
    </xf>
    <xf numFmtId="0" fontId="0" fillId="0" borderId="0" xfId="0" applyAlignment="1">
      <alignment horizontal="center" wrapText="1"/>
    </xf>
    <xf numFmtId="0" fontId="12" fillId="0" borderId="0" xfId="0" applyFont="1" applyAlignment="1">
      <alignment horizontal="left" vertical="top" wrapText="1"/>
    </xf>
    <xf numFmtId="0" fontId="16" fillId="0" borderId="0" xfId="0" applyFont="1" applyAlignment="1">
      <alignment horizontal="left" wrapText="1"/>
    </xf>
    <xf numFmtId="0" fontId="12" fillId="0" borderId="24" xfId="0" applyFont="1" applyBorder="1" applyAlignment="1">
      <alignment horizontal="left"/>
    </xf>
    <xf numFmtId="0" fontId="12" fillId="0" borderId="63" xfId="0" applyFont="1" applyBorder="1" applyAlignment="1">
      <alignment horizontal="left" wrapText="1"/>
    </xf>
  </cellXfs>
  <cellStyles count="5">
    <cellStyle name="Hipervínculo" xfId="2" builtinId="8"/>
    <cellStyle name="Normal" xfId="0" builtinId="0"/>
    <cellStyle name="Normal 2 2" xfId="4" xr:uid="{D96723A2-536F-4C08-B558-1BD4F32B55CD}"/>
    <cellStyle name="Normal 2 6" xfId="3" xr:uid="{E85FFAFE-42D7-46B3-A292-A33B80BFBED5}"/>
    <cellStyle name="Porcentaje" xfId="1" builtinId="5"/>
  </cellStyles>
  <dxfs count="0"/>
  <tableStyles count="1" defaultTableStyle="TableStyleMedium2" defaultPivotStyle="PivotStyleLight16">
    <tableStyle name="Invisible" pivot="0" table="0" count="0" xr9:uid="{64E0723C-B7F7-4A5E-AC7A-424529A68917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tyles" Target="styles.xml"/><Relationship Id="rId55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8" Type="http://schemas.openxmlformats.org/officeDocument/2006/relationships/worksheet" Target="worksheets/sheet8.xml"/><Relationship Id="rId51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9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Relationship Id="rId4" Type="http://schemas.openxmlformats.org/officeDocument/2006/relationships/chartUserShapes" Target="../drawings/drawing18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Relationship Id="rId4" Type="http://schemas.openxmlformats.org/officeDocument/2006/relationships/chartUserShapes" Target="../drawings/drawing19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Relationship Id="rId4" Type="http://schemas.openxmlformats.org/officeDocument/2006/relationships/chartUserShapes" Target="../drawings/drawing20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Relationship Id="rId4" Type="http://schemas.openxmlformats.org/officeDocument/2006/relationships/chartUserShapes" Target="../drawings/drawing21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Relationship Id="rId4" Type="http://schemas.openxmlformats.org/officeDocument/2006/relationships/chartUserShapes" Target="../drawings/drawing2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Relationship Id="rId4" Type="http://schemas.openxmlformats.org/officeDocument/2006/relationships/chartUserShapes" Target="../drawings/drawing2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Relationship Id="rId4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Relationship Id="rId4" Type="http://schemas.openxmlformats.org/officeDocument/2006/relationships/chartUserShapes" Target="../drawings/drawing2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Relationship Id="rId4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Relationship Id="rId4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Relationship Id="rId4" Type="http://schemas.openxmlformats.org/officeDocument/2006/relationships/chartUserShapes" Target="../drawings/drawing10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Relationship Id="rId4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1.xml"/><Relationship Id="rId1" Type="http://schemas.microsoft.com/office/2011/relationships/chartStyle" Target="style21.xml"/><Relationship Id="rId4" Type="http://schemas.openxmlformats.org/officeDocument/2006/relationships/chartUserShapes" Target="../drawings/drawing51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2.xml"/><Relationship Id="rId1" Type="http://schemas.microsoft.com/office/2011/relationships/chartStyle" Target="style22.xml"/><Relationship Id="rId4" Type="http://schemas.openxmlformats.org/officeDocument/2006/relationships/chartUserShapes" Target="../drawings/drawing52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3.xml"/><Relationship Id="rId1" Type="http://schemas.microsoft.com/office/2011/relationships/chartStyle" Target="style23.xml"/><Relationship Id="rId4" Type="http://schemas.openxmlformats.org/officeDocument/2006/relationships/chartUserShapes" Target="../drawings/drawing5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Relationship Id="rId4" Type="http://schemas.openxmlformats.org/officeDocument/2006/relationships/chartUserShapes" Target="../drawings/drawing11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24.xml"/><Relationship Id="rId1" Type="http://schemas.microsoft.com/office/2011/relationships/chartStyle" Target="style24.xml"/><Relationship Id="rId4" Type="http://schemas.openxmlformats.org/officeDocument/2006/relationships/chartUserShapes" Target="../drawings/drawing54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25.xml"/><Relationship Id="rId1" Type="http://schemas.microsoft.com/office/2011/relationships/chartStyle" Target="style25.xml"/><Relationship Id="rId4" Type="http://schemas.openxmlformats.org/officeDocument/2006/relationships/chartUserShapes" Target="../drawings/drawing55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26.xml"/><Relationship Id="rId1" Type="http://schemas.microsoft.com/office/2011/relationships/chartStyle" Target="style26.xml"/><Relationship Id="rId4" Type="http://schemas.openxmlformats.org/officeDocument/2006/relationships/chartUserShapes" Target="../drawings/drawing56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27.xml"/><Relationship Id="rId1" Type="http://schemas.microsoft.com/office/2011/relationships/chartStyle" Target="style27.xml"/><Relationship Id="rId4" Type="http://schemas.openxmlformats.org/officeDocument/2006/relationships/chartUserShapes" Target="../drawings/drawing57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28.xml"/><Relationship Id="rId1" Type="http://schemas.microsoft.com/office/2011/relationships/chartStyle" Target="style28.xml"/><Relationship Id="rId4" Type="http://schemas.openxmlformats.org/officeDocument/2006/relationships/chartUserShapes" Target="../drawings/drawing58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29.xml"/><Relationship Id="rId1" Type="http://schemas.microsoft.com/office/2011/relationships/chartStyle" Target="style29.xml"/><Relationship Id="rId4" Type="http://schemas.openxmlformats.org/officeDocument/2006/relationships/chartUserShapes" Target="../drawings/drawing59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0.xml"/><Relationship Id="rId1" Type="http://schemas.microsoft.com/office/2011/relationships/chartStyle" Target="style30.xml"/><Relationship Id="rId4" Type="http://schemas.openxmlformats.org/officeDocument/2006/relationships/chartUserShapes" Target="../drawings/drawing60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1.xml"/><Relationship Id="rId1" Type="http://schemas.microsoft.com/office/2011/relationships/chartStyle" Target="style31.xml"/><Relationship Id="rId4" Type="http://schemas.openxmlformats.org/officeDocument/2006/relationships/chartUserShapes" Target="../drawings/drawing61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2.xml"/><Relationship Id="rId1" Type="http://schemas.microsoft.com/office/2011/relationships/chartStyle" Target="style32.xml"/><Relationship Id="rId4" Type="http://schemas.openxmlformats.org/officeDocument/2006/relationships/chartUserShapes" Target="../drawings/drawing62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3.xml"/><Relationship Id="rId1" Type="http://schemas.microsoft.com/office/2011/relationships/chartStyle" Target="style33.xml"/><Relationship Id="rId4" Type="http://schemas.openxmlformats.org/officeDocument/2006/relationships/chartUserShapes" Target="../drawings/drawing64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Relationship Id="rId4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34.xml"/><Relationship Id="rId1" Type="http://schemas.microsoft.com/office/2011/relationships/chartStyle" Target="style34.xml"/><Relationship Id="rId4" Type="http://schemas.openxmlformats.org/officeDocument/2006/relationships/chartUserShapes" Target="../drawings/drawing65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35.xml"/><Relationship Id="rId1" Type="http://schemas.microsoft.com/office/2011/relationships/chartStyle" Target="style35.xml"/><Relationship Id="rId4" Type="http://schemas.openxmlformats.org/officeDocument/2006/relationships/chartUserShapes" Target="../drawings/drawing66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36.xml"/><Relationship Id="rId1" Type="http://schemas.microsoft.com/office/2011/relationships/chartStyle" Target="style36.xml"/><Relationship Id="rId4" Type="http://schemas.openxmlformats.org/officeDocument/2006/relationships/chartUserShapes" Target="../drawings/drawing67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37.xml"/><Relationship Id="rId1" Type="http://schemas.microsoft.com/office/2011/relationships/chartStyle" Target="style37.xml"/><Relationship Id="rId4" Type="http://schemas.openxmlformats.org/officeDocument/2006/relationships/chartUserShapes" Target="../drawings/drawing7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38.xml"/><Relationship Id="rId1" Type="http://schemas.microsoft.com/office/2011/relationships/chartStyle" Target="style38.xml"/><Relationship Id="rId4" Type="http://schemas.openxmlformats.org/officeDocument/2006/relationships/chartUserShapes" Target="../drawings/drawing7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39.xml"/><Relationship Id="rId1" Type="http://schemas.microsoft.com/office/2011/relationships/chartStyle" Target="style39.xml"/><Relationship Id="rId4" Type="http://schemas.openxmlformats.org/officeDocument/2006/relationships/chartUserShapes" Target="../drawings/drawing7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0.xml"/><Relationship Id="rId1" Type="http://schemas.microsoft.com/office/2011/relationships/chartStyle" Target="style40.xml"/><Relationship Id="rId4" Type="http://schemas.openxmlformats.org/officeDocument/2006/relationships/chartUserShapes" Target="../drawings/drawing7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1.xml"/><Relationship Id="rId1" Type="http://schemas.microsoft.com/office/2011/relationships/chartStyle" Target="style41.xml"/><Relationship Id="rId4" Type="http://schemas.openxmlformats.org/officeDocument/2006/relationships/chartUserShapes" Target="../drawings/drawing7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2.xml"/><Relationship Id="rId1" Type="http://schemas.microsoft.com/office/2011/relationships/chartStyle" Target="style42.xml"/><Relationship Id="rId4" Type="http://schemas.openxmlformats.org/officeDocument/2006/relationships/chartUserShapes" Target="../drawings/drawing7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3.xml"/><Relationship Id="rId1" Type="http://schemas.microsoft.com/office/2011/relationships/chartStyle" Target="style43.xml"/><Relationship Id="rId4" Type="http://schemas.openxmlformats.org/officeDocument/2006/relationships/chartUserShapes" Target="../drawings/drawing7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Relationship Id="rId4" Type="http://schemas.openxmlformats.org/officeDocument/2006/relationships/chartUserShapes" Target="../drawings/drawing13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44.xml"/><Relationship Id="rId1" Type="http://schemas.microsoft.com/office/2011/relationships/chartStyle" Target="style44.xml"/><Relationship Id="rId4" Type="http://schemas.openxmlformats.org/officeDocument/2006/relationships/chartUserShapes" Target="../drawings/drawing8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45.xml"/><Relationship Id="rId1" Type="http://schemas.microsoft.com/office/2011/relationships/chartStyle" Target="style45.xml"/><Relationship Id="rId4" Type="http://schemas.openxmlformats.org/officeDocument/2006/relationships/chartUserShapes" Target="../drawings/drawing8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46.xml"/><Relationship Id="rId1" Type="http://schemas.microsoft.com/office/2011/relationships/chartStyle" Target="style46.xml"/><Relationship Id="rId4" Type="http://schemas.openxmlformats.org/officeDocument/2006/relationships/chartUserShapes" Target="../drawings/drawing8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47.xml"/><Relationship Id="rId1" Type="http://schemas.microsoft.com/office/2011/relationships/chartStyle" Target="style47.xml"/><Relationship Id="rId4" Type="http://schemas.openxmlformats.org/officeDocument/2006/relationships/chartUserShapes" Target="../drawings/drawing8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48.xml"/><Relationship Id="rId1" Type="http://schemas.microsoft.com/office/2011/relationships/chartStyle" Target="style48.xml"/><Relationship Id="rId4" Type="http://schemas.openxmlformats.org/officeDocument/2006/relationships/chartUserShapes" Target="../drawings/drawing8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49.xml"/><Relationship Id="rId1" Type="http://schemas.microsoft.com/office/2011/relationships/chartStyle" Target="style49.xml"/><Relationship Id="rId4" Type="http://schemas.openxmlformats.org/officeDocument/2006/relationships/chartUserShapes" Target="../drawings/drawing8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0.xml"/><Relationship Id="rId1" Type="http://schemas.microsoft.com/office/2011/relationships/chartStyle" Target="style50.xml"/><Relationship Id="rId4" Type="http://schemas.openxmlformats.org/officeDocument/2006/relationships/chartUserShapes" Target="../drawings/drawing87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1.xml"/><Relationship Id="rId1" Type="http://schemas.microsoft.com/office/2011/relationships/chartStyle" Target="style51.xml"/><Relationship Id="rId4" Type="http://schemas.openxmlformats.org/officeDocument/2006/relationships/chartUserShapes" Target="../drawings/drawing88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2.xml"/><Relationship Id="rId1" Type="http://schemas.microsoft.com/office/2011/relationships/chartStyle" Target="style52.xml"/><Relationship Id="rId4" Type="http://schemas.openxmlformats.org/officeDocument/2006/relationships/chartUserShapes" Target="../drawings/drawing89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3.xml"/><Relationship Id="rId1" Type="http://schemas.microsoft.com/office/2011/relationships/chartStyle" Target="style53.xml"/><Relationship Id="rId4" Type="http://schemas.openxmlformats.org/officeDocument/2006/relationships/chartUserShapes" Target="../drawings/drawing90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Relationship Id="rId4" Type="http://schemas.openxmlformats.org/officeDocument/2006/relationships/chartUserShapes" Target="../drawings/drawing14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54.xml"/><Relationship Id="rId1" Type="http://schemas.microsoft.com/office/2011/relationships/chartStyle" Target="style54.xml"/><Relationship Id="rId4" Type="http://schemas.openxmlformats.org/officeDocument/2006/relationships/chartUserShapes" Target="../drawings/drawing93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55.xml"/><Relationship Id="rId1" Type="http://schemas.microsoft.com/office/2011/relationships/chartStyle" Target="style55.xml"/><Relationship Id="rId4" Type="http://schemas.openxmlformats.org/officeDocument/2006/relationships/chartUserShapes" Target="../drawings/drawing94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56.xml"/><Relationship Id="rId1" Type="http://schemas.microsoft.com/office/2011/relationships/chartStyle" Target="style56.xml"/><Relationship Id="rId4" Type="http://schemas.openxmlformats.org/officeDocument/2006/relationships/chartUserShapes" Target="../drawings/drawing95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57.xml"/><Relationship Id="rId1" Type="http://schemas.microsoft.com/office/2011/relationships/chartStyle" Target="style57.xml"/><Relationship Id="rId4" Type="http://schemas.openxmlformats.org/officeDocument/2006/relationships/chartUserShapes" Target="../drawings/drawing9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3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4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7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08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0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15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1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3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4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6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65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18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0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66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2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4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Relationship Id="rId4" Type="http://schemas.openxmlformats.org/officeDocument/2006/relationships/chartUserShapes" Target="../drawings/drawing16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6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71.xml"/><Relationship Id="rId1" Type="http://schemas.microsoft.com/office/2011/relationships/chartStyle" Target="style71.xml"/><Relationship Id="rId4" Type="http://schemas.openxmlformats.org/officeDocument/2006/relationships/chartUserShapes" Target="../drawings/drawing128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9.xml"/><Relationship Id="rId2" Type="http://schemas.microsoft.com/office/2011/relationships/chartColorStyle" Target="colors72.xml"/><Relationship Id="rId1" Type="http://schemas.microsoft.com/office/2011/relationships/chartStyle" Target="style72.xml"/><Relationship Id="rId4" Type="http://schemas.openxmlformats.org/officeDocument/2006/relationships/chartUserShapes" Target="../drawings/drawing130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0.xml"/><Relationship Id="rId2" Type="http://schemas.microsoft.com/office/2011/relationships/chartColorStyle" Target="colors73.xml"/><Relationship Id="rId1" Type="http://schemas.microsoft.com/office/2011/relationships/chartStyle" Target="style73.xml"/><Relationship Id="rId4" Type="http://schemas.openxmlformats.org/officeDocument/2006/relationships/chartUserShapes" Target="../drawings/drawing132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C1-425B-9212-CD82BC540451}"/>
              </c:ext>
            </c:extLst>
          </c:dPt>
          <c:val>
            <c:numRef>
              <c:f>'Viajeros entr evol mensu TF'!$I$9:$I$21</c:f>
              <c:numCache>
                <c:formatCode>#,##0</c:formatCode>
                <c:ptCount val="13"/>
                <c:pt idx="0">
                  <c:v>23609</c:v>
                </c:pt>
                <c:pt idx="1">
                  <c:v>22775</c:v>
                </c:pt>
                <c:pt idx="2">
                  <c:v>25174</c:v>
                </c:pt>
                <c:pt idx="3">
                  <c:v>19154</c:v>
                </c:pt>
                <c:pt idx="4">
                  <c:v>17881</c:v>
                </c:pt>
                <c:pt idx="5">
                  <c:v>17983</c:v>
                </c:pt>
                <c:pt idx="6">
                  <c:v>16810</c:v>
                </c:pt>
                <c:pt idx="7">
                  <c:v>14993</c:v>
                </c:pt>
                <c:pt idx="8">
                  <c:v>15933</c:v>
                </c:pt>
                <c:pt idx="9">
                  <c:v>20553</c:v>
                </c:pt>
                <c:pt idx="10">
                  <c:v>23667</c:v>
                </c:pt>
                <c:pt idx="11">
                  <c:v>20577</c:v>
                </c:pt>
                <c:pt idx="12">
                  <c:v>239109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C1-425B-9212-CD82BC540451}"/>
            </c:ext>
          </c:extLst>
        </c:ser>
        <c:ser>
          <c:idx val="0"/>
          <c:order val="2"/>
          <c:tx>
            <c:strRef>
              <c:f>'Viajeros entr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C1-425B-9212-CD82BC54045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TF'!$K$9:$K$21</c:f>
              <c:numCache>
                <c:formatCode>#,##0</c:formatCode>
                <c:ptCount val="13"/>
                <c:pt idx="0">
                  <c:v>23867</c:v>
                </c:pt>
                <c:pt idx="1">
                  <c:v>22625</c:v>
                </c:pt>
                <c:pt idx="2">
                  <c:v>22971</c:v>
                </c:pt>
                <c:pt idx="3">
                  <c:v>19029</c:v>
                </c:pt>
                <c:pt idx="4">
                  <c:v>17439</c:v>
                </c:pt>
                <c:pt idx="5">
                  <c:v>19479</c:v>
                </c:pt>
                <c:pt idx="6">
                  <c:v>21632</c:v>
                </c:pt>
                <c:pt idx="7">
                  <c:v>15201</c:v>
                </c:pt>
                <c:pt idx="8">
                  <c:v>19577</c:v>
                </c:pt>
                <c:pt idx="9">
                  <c:v>19337</c:v>
                </c:pt>
                <c:pt idx="10">
                  <c:v>25085</c:v>
                </c:pt>
                <c:pt idx="11">
                  <c:v>24629</c:v>
                </c:pt>
                <c:pt idx="12">
                  <c:v>250871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C1-425B-9212-CD82BC540451}"/>
            </c:ext>
          </c:extLst>
        </c:ser>
        <c:ser>
          <c:idx val="1"/>
          <c:order val="3"/>
          <c:tx>
            <c:strRef>
              <c:f>'Viajeros entr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C1-425B-9212-CD82BC54045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AC1-425B-9212-CD82BC54045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TF'!$M$9:$M$21</c:f>
              <c:numCache>
                <c:formatCode>#,##0</c:formatCode>
                <c:ptCount val="13"/>
                <c:pt idx="0">
                  <c:v>24602</c:v>
                </c:pt>
                <c:pt idx="1">
                  <c:v>24926</c:v>
                </c:pt>
                <c:pt idx="2">
                  <c:v>26883</c:v>
                </c:pt>
                <c:pt idx="3">
                  <c:v>20857</c:v>
                </c:pt>
                <c:pt idx="4">
                  <c:v>22620</c:v>
                </c:pt>
                <c:pt idx="5">
                  <c:v>20873</c:v>
                </c:pt>
                <c:pt idx="12">
                  <c:v>140761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AC1-425B-9212-CD82BC540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AC1-425B-9212-CD82BC54045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20553</c:v>
                      </c:pt>
                      <c:pt idx="1">
                        <c:v>23364</c:v>
                      </c:pt>
                      <c:pt idx="2">
                        <c:v>8936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6776</c:v>
                      </c:pt>
                      <c:pt idx="8">
                        <c:v>7423</c:v>
                      </c:pt>
                      <c:pt idx="9">
                        <c:v>9298</c:v>
                      </c:pt>
                      <c:pt idx="10">
                        <c:v>8104</c:v>
                      </c:pt>
                      <c:pt idx="11">
                        <c:v>6962</c:v>
                      </c:pt>
                      <c:pt idx="12">
                        <c:v>103516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AC1-425B-9212-CD82BC54045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AC1-425B-9212-CD82BC54045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AC1-425B-9212-CD82BC54045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AC1-425B-9212-CD82BC54045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C1-425B-9212-CD82BC54045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C1-425B-9212-CD82BC54045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C1-425B-9212-CD82BC54045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C1-425B-9212-CD82BC54045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C1-425B-9212-CD82BC54045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C1-425B-9212-CD82BC54045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AC1-425B-9212-CD82BC54045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AC1-425B-9212-CD82BC54045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AC1-425B-9212-CD82BC54045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AC1-425B-9212-CD82BC540451}"/>
              </c:ext>
            </c:extLst>
          </c:dPt>
          <c:cat>
            <c:strRef>
              <c:f>'Viajeros entr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TF'!$N$9:$N$21</c:f>
              <c:numCache>
                <c:formatCode>0.0%</c:formatCode>
                <c:ptCount val="13"/>
                <c:pt idx="0">
                  <c:v>3.0795659278501697E-2</c:v>
                </c:pt>
                <c:pt idx="1">
                  <c:v>0.10170165745856363</c:v>
                </c:pt>
                <c:pt idx="2">
                  <c:v>0.17030168473292417</c:v>
                </c:pt>
                <c:pt idx="3">
                  <c:v>9.6063902464659234E-2</c:v>
                </c:pt>
                <c:pt idx="4">
                  <c:v>0.29709272320660585</c:v>
                </c:pt>
                <c:pt idx="5">
                  <c:v>7.1564248678063658E-2</c:v>
                </c:pt>
                <c:pt idx="12">
                  <c:v>0.12240650665816122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AC1-425B-9212-CD82BC540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2E-46CB-A587-870F2B65F569}"/>
              </c:ext>
            </c:extLst>
          </c:dPt>
          <c:val>
            <c:numRef>
              <c:f>'Viajeros entr evol mensu TF'!$I$207:$I$219</c:f>
              <c:numCache>
                <c:formatCode>#,##0</c:formatCode>
                <c:ptCount val="13"/>
                <c:pt idx="0">
                  <c:v>297</c:v>
                </c:pt>
                <c:pt idx="1">
                  <c:v>263</c:v>
                </c:pt>
                <c:pt idx="2">
                  <c:v>247</c:v>
                </c:pt>
                <c:pt idx="3">
                  <c:v>160</c:v>
                </c:pt>
                <c:pt idx="4">
                  <c:v>160</c:v>
                </c:pt>
                <c:pt idx="5">
                  <c:v>86</c:v>
                </c:pt>
                <c:pt idx="6">
                  <c:v>303</c:v>
                </c:pt>
                <c:pt idx="7">
                  <c:v>234</c:v>
                </c:pt>
                <c:pt idx="8">
                  <c:v>146</c:v>
                </c:pt>
                <c:pt idx="9">
                  <c:v>156</c:v>
                </c:pt>
                <c:pt idx="10">
                  <c:v>294</c:v>
                </c:pt>
                <c:pt idx="11">
                  <c:v>291</c:v>
                </c:pt>
                <c:pt idx="12">
                  <c:v>2637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2E-46CB-A587-870F2B65F569}"/>
            </c:ext>
          </c:extLst>
        </c:ser>
        <c:ser>
          <c:idx val="0"/>
          <c:order val="2"/>
          <c:tx>
            <c:strRef>
              <c:f>'Viajeros entr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2E-46CB-A587-870F2B65F56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TF'!$K$207:$K$219</c:f>
              <c:numCache>
                <c:formatCode>#,##0</c:formatCode>
                <c:ptCount val="13"/>
                <c:pt idx="0">
                  <c:v>273</c:v>
                </c:pt>
                <c:pt idx="1">
                  <c:v>326</c:v>
                </c:pt>
                <c:pt idx="2">
                  <c:v>210</c:v>
                </c:pt>
                <c:pt idx="3">
                  <c:v>191</c:v>
                </c:pt>
                <c:pt idx="4">
                  <c:v>146</c:v>
                </c:pt>
                <c:pt idx="5">
                  <c:v>103</c:v>
                </c:pt>
                <c:pt idx="6">
                  <c:v>146</c:v>
                </c:pt>
                <c:pt idx="7">
                  <c:v>193</c:v>
                </c:pt>
                <c:pt idx="8">
                  <c:v>101</c:v>
                </c:pt>
                <c:pt idx="9">
                  <c:v>124</c:v>
                </c:pt>
                <c:pt idx="10">
                  <c:v>296</c:v>
                </c:pt>
                <c:pt idx="11">
                  <c:v>247</c:v>
                </c:pt>
                <c:pt idx="12">
                  <c:v>2356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2E-46CB-A587-870F2B65F569}"/>
            </c:ext>
          </c:extLst>
        </c:ser>
        <c:ser>
          <c:idx val="1"/>
          <c:order val="3"/>
          <c:tx>
            <c:strRef>
              <c:f>'Viajeros entr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2E-46CB-A587-870F2B65F56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82E-46CB-A587-870F2B65F569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TF'!$M$207:$M$219</c:f>
              <c:numCache>
                <c:formatCode>#,##0</c:formatCode>
                <c:ptCount val="13"/>
                <c:pt idx="0">
                  <c:v>376</c:v>
                </c:pt>
                <c:pt idx="1">
                  <c:v>304</c:v>
                </c:pt>
                <c:pt idx="2">
                  <c:v>251</c:v>
                </c:pt>
                <c:pt idx="3">
                  <c:v>133</c:v>
                </c:pt>
                <c:pt idx="4">
                  <c:v>131</c:v>
                </c:pt>
                <c:pt idx="5">
                  <c:v>103</c:v>
                </c:pt>
                <c:pt idx="12">
                  <c:v>1298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82E-46CB-A587-870F2B65F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82E-46CB-A587-870F2B65F56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231</c:v>
                      </c:pt>
                      <c:pt idx="1">
                        <c:v>215</c:v>
                      </c:pt>
                      <c:pt idx="2">
                        <c:v>81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48</c:v>
                      </c:pt>
                      <c:pt idx="8">
                        <c:v>19</c:v>
                      </c:pt>
                      <c:pt idx="9">
                        <c:v>30</c:v>
                      </c:pt>
                      <c:pt idx="10">
                        <c:v>48</c:v>
                      </c:pt>
                      <c:pt idx="11">
                        <c:v>43</c:v>
                      </c:pt>
                      <c:pt idx="12">
                        <c:v>784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82E-46CB-A587-870F2B65F56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82E-46CB-A587-870F2B65F56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82E-46CB-A587-870F2B65F56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82E-46CB-A587-870F2B65F56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82E-46CB-A587-870F2B65F56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82E-46CB-A587-870F2B65F56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82E-46CB-A587-870F2B65F56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82E-46CB-A587-870F2B65F56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82E-46CB-A587-870F2B65F56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82E-46CB-A587-870F2B65F56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82E-46CB-A587-870F2B65F56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82E-46CB-A587-870F2B65F56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82E-46CB-A587-870F2B65F56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82E-46CB-A587-870F2B65F569}"/>
              </c:ext>
            </c:extLst>
          </c:dPt>
          <c:cat>
            <c:strRef>
              <c:f>'Viajeros entr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TF'!$N$207:$N$219</c:f>
              <c:numCache>
                <c:formatCode>0.0%</c:formatCode>
                <c:ptCount val="13"/>
                <c:pt idx="0">
                  <c:v>0.37728937728937728</c:v>
                </c:pt>
                <c:pt idx="1">
                  <c:v>-6.7484662576687171E-2</c:v>
                </c:pt>
                <c:pt idx="2">
                  <c:v>0.19523809523809521</c:v>
                </c:pt>
                <c:pt idx="3">
                  <c:v>-0.30366492146596857</c:v>
                </c:pt>
                <c:pt idx="4">
                  <c:v>-0.10273972602739723</c:v>
                </c:pt>
                <c:pt idx="5">
                  <c:v>0</c:v>
                </c:pt>
                <c:pt idx="12">
                  <c:v>3.9231385108086547E-2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82E-46CB-A587-870F2B65F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30-4D10-81CB-362E912F38D0}"/>
              </c:ext>
            </c:extLst>
          </c:dPt>
          <c:val>
            <c:numRef>
              <c:f>'Viajeros entr evol mensu TF'!$I$229:$I$241</c:f>
              <c:numCache>
                <c:formatCode>#,##0</c:formatCode>
                <c:ptCount val="13"/>
                <c:pt idx="0">
                  <c:v>239</c:v>
                </c:pt>
                <c:pt idx="1">
                  <c:v>200</c:v>
                </c:pt>
                <c:pt idx="2">
                  <c:v>206</c:v>
                </c:pt>
                <c:pt idx="3">
                  <c:v>119</c:v>
                </c:pt>
                <c:pt idx="4">
                  <c:v>90</c:v>
                </c:pt>
                <c:pt idx="5">
                  <c:v>86</c:v>
                </c:pt>
                <c:pt idx="6">
                  <c:v>135</c:v>
                </c:pt>
                <c:pt idx="7">
                  <c:v>119</c:v>
                </c:pt>
                <c:pt idx="8">
                  <c:v>102</c:v>
                </c:pt>
                <c:pt idx="9">
                  <c:v>137</c:v>
                </c:pt>
                <c:pt idx="10">
                  <c:v>273</c:v>
                </c:pt>
                <c:pt idx="11">
                  <c:v>228</c:v>
                </c:pt>
                <c:pt idx="12">
                  <c:v>1934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30-4D10-81CB-362E912F38D0}"/>
            </c:ext>
          </c:extLst>
        </c:ser>
        <c:ser>
          <c:idx val="0"/>
          <c:order val="2"/>
          <c:tx>
            <c:strRef>
              <c:f>'Viajeros entr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30-4D10-81CB-362E912F38D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TF'!$K$229:$K$241</c:f>
              <c:numCache>
                <c:formatCode>#,##0</c:formatCode>
                <c:ptCount val="13"/>
                <c:pt idx="0">
                  <c:v>277</c:v>
                </c:pt>
                <c:pt idx="1">
                  <c:v>198</c:v>
                </c:pt>
                <c:pt idx="2">
                  <c:v>181</c:v>
                </c:pt>
                <c:pt idx="3">
                  <c:v>107</c:v>
                </c:pt>
                <c:pt idx="4">
                  <c:v>133</c:v>
                </c:pt>
                <c:pt idx="5">
                  <c:v>117</c:v>
                </c:pt>
                <c:pt idx="6">
                  <c:v>123</c:v>
                </c:pt>
                <c:pt idx="7">
                  <c:v>112</c:v>
                </c:pt>
                <c:pt idx="8">
                  <c:v>143</c:v>
                </c:pt>
                <c:pt idx="9">
                  <c:v>155</c:v>
                </c:pt>
                <c:pt idx="10">
                  <c:v>235</c:v>
                </c:pt>
                <c:pt idx="11">
                  <c:v>310</c:v>
                </c:pt>
                <c:pt idx="12">
                  <c:v>2091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30-4D10-81CB-362E912F38D0}"/>
            </c:ext>
          </c:extLst>
        </c:ser>
        <c:ser>
          <c:idx val="1"/>
          <c:order val="3"/>
          <c:tx>
            <c:strRef>
              <c:f>'Viajeros entr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30-4D10-81CB-362E912F38D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430-4D10-81CB-362E912F38D0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TF'!$M$229:$M$241</c:f>
              <c:numCache>
                <c:formatCode>#,##0</c:formatCode>
                <c:ptCount val="13"/>
                <c:pt idx="0">
                  <c:v>323</c:v>
                </c:pt>
                <c:pt idx="1">
                  <c:v>222</c:v>
                </c:pt>
                <c:pt idx="2">
                  <c:v>183</c:v>
                </c:pt>
                <c:pt idx="3">
                  <c:v>135</c:v>
                </c:pt>
                <c:pt idx="4">
                  <c:v>153</c:v>
                </c:pt>
                <c:pt idx="5">
                  <c:v>111</c:v>
                </c:pt>
                <c:pt idx="12">
                  <c:v>1127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30-4D10-81CB-362E912F3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430-4D10-81CB-362E912F38D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222</c:v>
                      </c:pt>
                      <c:pt idx="1">
                        <c:v>148</c:v>
                      </c:pt>
                      <c:pt idx="2">
                        <c:v>85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49</c:v>
                      </c:pt>
                      <c:pt idx="8">
                        <c:v>74</c:v>
                      </c:pt>
                      <c:pt idx="9">
                        <c:v>47</c:v>
                      </c:pt>
                      <c:pt idx="10">
                        <c:v>57</c:v>
                      </c:pt>
                      <c:pt idx="11">
                        <c:v>74</c:v>
                      </c:pt>
                      <c:pt idx="12">
                        <c:v>812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430-4D10-81CB-362E912F38D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430-4D10-81CB-362E912F38D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430-4D10-81CB-362E912F38D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30-4D10-81CB-362E912F38D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30-4D10-81CB-362E912F38D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30-4D10-81CB-362E912F38D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30-4D10-81CB-362E912F38D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30-4D10-81CB-362E912F38D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30-4D10-81CB-362E912F38D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30-4D10-81CB-362E912F38D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30-4D10-81CB-362E912F38D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30-4D10-81CB-362E912F38D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30-4D10-81CB-362E912F38D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30-4D10-81CB-362E912F38D0}"/>
              </c:ext>
            </c:extLst>
          </c:dPt>
          <c:cat>
            <c:strRef>
              <c:f>'Viajeros entr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TF'!$N$229:$N$241</c:f>
              <c:numCache>
                <c:formatCode>0.0%</c:formatCode>
                <c:ptCount val="13"/>
                <c:pt idx="0">
                  <c:v>0.1660649819494584</c:v>
                </c:pt>
                <c:pt idx="1">
                  <c:v>0.1212121212121211</c:v>
                </c:pt>
                <c:pt idx="2">
                  <c:v>1.1049723756906049E-2</c:v>
                </c:pt>
                <c:pt idx="3">
                  <c:v>0.26168224299065423</c:v>
                </c:pt>
                <c:pt idx="4">
                  <c:v>0.15037593984962405</c:v>
                </c:pt>
                <c:pt idx="5">
                  <c:v>-5.1282051282051322E-2</c:v>
                </c:pt>
                <c:pt idx="12">
                  <c:v>0.11253701875616984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430-4D10-81CB-362E912F38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4B1-4764-9881-FCF5764AD5E2}"/>
              </c:ext>
            </c:extLst>
          </c:dPt>
          <c:val>
            <c:numRef>
              <c:f>'Viajeros entr evol mensu TF'!$I$251:$I$263</c:f>
              <c:numCache>
                <c:formatCode>#,##0</c:formatCode>
                <c:ptCount val="13"/>
                <c:pt idx="0">
                  <c:v>190</c:v>
                </c:pt>
                <c:pt idx="1">
                  <c:v>153</c:v>
                </c:pt>
                <c:pt idx="2">
                  <c:v>264</c:v>
                </c:pt>
                <c:pt idx="3">
                  <c:v>121</c:v>
                </c:pt>
                <c:pt idx="4">
                  <c:v>21</c:v>
                </c:pt>
                <c:pt idx="5">
                  <c:v>26</c:v>
                </c:pt>
                <c:pt idx="6">
                  <c:v>25</c:v>
                </c:pt>
                <c:pt idx="7">
                  <c:v>33</c:v>
                </c:pt>
                <c:pt idx="8">
                  <c:v>28</c:v>
                </c:pt>
                <c:pt idx="9">
                  <c:v>115</c:v>
                </c:pt>
                <c:pt idx="10">
                  <c:v>177</c:v>
                </c:pt>
                <c:pt idx="11">
                  <c:v>188</c:v>
                </c:pt>
                <c:pt idx="12">
                  <c:v>1341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B1-4764-9881-FCF5764AD5E2}"/>
            </c:ext>
          </c:extLst>
        </c:ser>
        <c:ser>
          <c:idx val="0"/>
          <c:order val="2"/>
          <c:tx>
            <c:strRef>
              <c:f>'Viajeros entr evol mensu TF'!$K$249:$L$249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4B1-4764-9881-FCF5764AD5E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TF'!$K$251:$K$263</c:f>
              <c:numCache>
                <c:formatCode>#,##0</c:formatCode>
                <c:ptCount val="13"/>
                <c:pt idx="0">
                  <c:v>268</c:v>
                </c:pt>
                <c:pt idx="1">
                  <c:v>235</c:v>
                </c:pt>
                <c:pt idx="2">
                  <c:v>198</c:v>
                </c:pt>
                <c:pt idx="3">
                  <c:v>105</c:v>
                </c:pt>
                <c:pt idx="4">
                  <c:v>13</c:v>
                </c:pt>
                <c:pt idx="5">
                  <c:v>39</c:v>
                </c:pt>
                <c:pt idx="6">
                  <c:v>46</c:v>
                </c:pt>
                <c:pt idx="7">
                  <c:v>18</c:v>
                </c:pt>
                <c:pt idx="8">
                  <c:v>24</c:v>
                </c:pt>
                <c:pt idx="9">
                  <c:v>112</c:v>
                </c:pt>
                <c:pt idx="10">
                  <c:v>118</c:v>
                </c:pt>
                <c:pt idx="11">
                  <c:v>158</c:v>
                </c:pt>
                <c:pt idx="12">
                  <c:v>1334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B1-4764-9881-FCF5764AD5E2}"/>
            </c:ext>
          </c:extLst>
        </c:ser>
        <c:ser>
          <c:idx val="1"/>
          <c:order val="3"/>
          <c:tx>
            <c:strRef>
              <c:f>'Viajeros entr evol mensu TF'!$M$249:$N$249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4B1-4764-9881-FCF5764AD5E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4B1-4764-9881-FCF5764AD5E2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TF'!$M$251:$M$263</c:f>
              <c:numCache>
                <c:formatCode>#,##0</c:formatCode>
                <c:ptCount val="13"/>
                <c:pt idx="0">
                  <c:v>203</c:v>
                </c:pt>
                <c:pt idx="1">
                  <c:v>199</c:v>
                </c:pt>
                <c:pt idx="2">
                  <c:v>146</c:v>
                </c:pt>
                <c:pt idx="3">
                  <c:v>82</c:v>
                </c:pt>
                <c:pt idx="4">
                  <c:v>12</c:v>
                </c:pt>
                <c:pt idx="5">
                  <c:v>27</c:v>
                </c:pt>
                <c:pt idx="12">
                  <c:v>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4B1-4764-9881-FCF5764AD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4B1-4764-9881-FCF5764AD5E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TF'!$C$251:$C$263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301</c:v>
                      </c:pt>
                      <c:pt idx="1">
                        <c:v>214</c:v>
                      </c:pt>
                      <c:pt idx="2">
                        <c:v>115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</c:v>
                      </c:pt>
                      <c:pt idx="8">
                        <c:v>0</c:v>
                      </c:pt>
                      <c:pt idx="9">
                        <c:v>15</c:v>
                      </c:pt>
                      <c:pt idx="10">
                        <c:v>11</c:v>
                      </c:pt>
                      <c:pt idx="11">
                        <c:v>8</c:v>
                      </c:pt>
                      <c:pt idx="12">
                        <c:v>678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4B1-4764-9881-FCF5764AD5E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TF'!$N$250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4B1-4764-9881-FCF5764AD5E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4B1-4764-9881-FCF5764AD5E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B1-4764-9881-FCF5764AD5E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B1-4764-9881-FCF5764AD5E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B1-4764-9881-FCF5764AD5E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B1-4764-9881-FCF5764AD5E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B1-4764-9881-FCF5764AD5E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B1-4764-9881-FCF5764AD5E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B1-4764-9881-FCF5764AD5E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B1-4764-9881-FCF5764AD5E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B1-4764-9881-FCF5764AD5E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B1-4764-9881-FCF5764AD5E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B1-4764-9881-FCF5764AD5E2}"/>
              </c:ext>
            </c:extLst>
          </c:dPt>
          <c:cat>
            <c:strRef>
              <c:f>'Viajeros entr evol mensu TF'!$B$251:$B$262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TF'!$N$251:$N$263</c:f>
              <c:numCache>
                <c:formatCode>0.0%</c:formatCode>
                <c:ptCount val="13"/>
                <c:pt idx="0">
                  <c:v>-0.2425373134328358</c:v>
                </c:pt>
                <c:pt idx="1">
                  <c:v>-0.15319148936170213</c:v>
                </c:pt>
                <c:pt idx="2">
                  <c:v>-0.26262626262626265</c:v>
                </c:pt>
                <c:pt idx="3">
                  <c:v>-0.21904761904761905</c:v>
                </c:pt>
                <c:pt idx="4">
                  <c:v>-7.6923076923076872E-2</c:v>
                </c:pt>
                <c:pt idx="5">
                  <c:v>-0.30769230769230771</c:v>
                </c:pt>
                <c:pt idx="12">
                  <c:v>-0.22027972027972031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4B1-4764-9881-FCF5764AD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1C0-4702-A5C1-EEABF8D57524}"/>
              </c:ext>
            </c:extLst>
          </c:dPt>
          <c:val>
            <c:numRef>
              <c:f>'Viajeros entr evol mensu TF'!$I$273:$I$285</c:f>
              <c:numCache>
                <c:formatCode>#,##0</c:formatCode>
                <c:ptCount val="13"/>
                <c:pt idx="0">
                  <c:v>453</c:v>
                </c:pt>
                <c:pt idx="1">
                  <c:v>313</c:v>
                </c:pt>
                <c:pt idx="2">
                  <c:v>321</c:v>
                </c:pt>
                <c:pt idx="3">
                  <c:v>279</c:v>
                </c:pt>
                <c:pt idx="4">
                  <c:v>55</c:v>
                </c:pt>
                <c:pt idx="5">
                  <c:v>33</c:v>
                </c:pt>
                <c:pt idx="6">
                  <c:v>39</c:v>
                </c:pt>
                <c:pt idx="7">
                  <c:v>34</c:v>
                </c:pt>
                <c:pt idx="8">
                  <c:v>37</c:v>
                </c:pt>
                <c:pt idx="9">
                  <c:v>242</c:v>
                </c:pt>
                <c:pt idx="10">
                  <c:v>292</c:v>
                </c:pt>
                <c:pt idx="11">
                  <c:v>357</c:v>
                </c:pt>
                <c:pt idx="12">
                  <c:v>2455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C0-4702-A5C1-EEABF8D57524}"/>
            </c:ext>
          </c:extLst>
        </c:ser>
        <c:ser>
          <c:idx val="0"/>
          <c:order val="2"/>
          <c:tx>
            <c:strRef>
              <c:f>'Viajeros entr evol mensu TF'!$K$271:$L$271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1C0-4702-A5C1-EEABF8D5752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TF'!$K$273:$K$285</c:f>
              <c:numCache>
                <c:formatCode>#,##0</c:formatCode>
                <c:ptCount val="13"/>
                <c:pt idx="0">
                  <c:v>381</c:v>
                </c:pt>
                <c:pt idx="1">
                  <c:v>336</c:v>
                </c:pt>
                <c:pt idx="2">
                  <c:v>324</c:v>
                </c:pt>
                <c:pt idx="3">
                  <c:v>205</c:v>
                </c:pt>
                <c:pt idx="4">
                  <c:v>46</c:v>
                </c:pt>
                <c:pt idx="5">
                  <c:v>26</c:v>
                </c:pt>
                <c:pt idx="6">
                  <c:v>47</c:v>
                </c:pt>
                <c:pt idx="7">
                  <c:v>38</c:v>
                </c:pt>
                <c:pt idx="8">
                  <c:v>24</c:v>
                </c:pt>
                <c:pt idx="9">
                  <c:v>228</c:v>
                </c:pt>
                <c:pt idx="10">
                  <c:v>371</c:v>
                </c:pt>
                <c:pt idx="11">
                  <c:v>467</c:v>
                </c:pt>
                <c:pt idx="12">
                  <c:v>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C0-4702-A5C1-EEABF8D57524}"/>
            </c:ext>
          </c:extLst>
        </c:ser>
        <c:ser>
          <c:idx val="1"/>
          <c:order val="3"/>
          <c:tx>
            <c:strRef>
              <c:f>'Viajeros entr evol mensu TF'!$M$271:$N$271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1C0-4702-A5C1-EEABF8D5752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1C0-4702-A5C1-EEABF8D57524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TF'!$M$273:$M$285</c:f>
              <c:numCache>
                <c:formatCode>#,##0</c:formatCode>
                <c:ptCount val="13"/>
                <c:pt idx="0">
                  <c:v>448</c:v>
                </c:pt>
                <c:pt idx="1">
                  <c:v>370</c:v>
                </c:pt>
                <c:pt idx="2">
                  <c:v>322</c:v>
                </c:pt>
                <c:pt idx="3">
                  <c:v>156</c:v>
                </c:pt>
                <c:pt idx="4">
                  <c:v>45</c:v>
                </c:pt>
                <c:pt idx="5">
                  <c:v>23</c:v>
                </c:pt>
                <c:pt idx="12">
                  <c:v>1364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1C0-4702-A5C1-EEABF8D57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1C0-4702-A5C1-EEABF8D5752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TF'!$C$273:$C$285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386</c:v>
                      </c:pt>
                      <c:pt idx="1">
                        <c:v>408</c:v>
                      </c:pt>
                      <c:pt idx="2">
                        <c:v>176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</c:v>
                      </c:pt>
                      <c:pt idx="8">
                        <c:v>25</c:v>
                      </c:pt>
                      <c:pt idx="9">
                        <c:v>20</c:v>
                      </c:pt>
                      <c:pt idx="10">
                        <c:v>27</c:v>
                      </c:pt>
                      <c:pt idx="11">
                        <c:v>24</c:v>
                      </c:pt>
                      <c:pt idx="12">
                        <c:v>1097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1C0-4702-A5C1-EEABF8D5752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TF'!$N$272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1C0-4702-A5C1-EEABF8D5752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1C0-4702-A5C1-EEABF8D5752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1C0-4702-A5C1-EEABF8D5752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C0-4702-A5C1-EEABF8D5752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C0-4702-A5C1-EEABF8D5752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C0-4702-A5C1-EEABF8D5752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C0-4702-A5C1-EEABF8D5752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C0-4702-A5C1-EEABF8D5752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C0-4702-A5C1-EEABF8D5752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C0-4702-A5C1-EEABF8D5752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C0-4702-A5C1-EEABF8D5752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C0-4702-A5C1-EEABF8D5752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C0-4702-A5C1-EEABF8D57524}"/>
              </c:ext>
            </c:extLst>
          </c:dPt>
          <c:cat>
            <c:strRef>
              <c:f>'Viajeros entr evol mensu TF'!$B$273:$B$284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TF'!$N$273:$N$285</c:f>
              <c:numCache>
                <c:formatCode>0.0%</c:formatCode>
                <c:ptCount val="13"/>
                <c:pt idx="0">
                  <c:v>0.1758530183727034</c:v>
                </c:pt>
                <c:pt idx="1">
                  <c:v>0.10119047619047628</c:v>
                </c:pt>
                <c:pt idx="2">
                  <c:v>-6.1728395061728669E-3</c:v>
                </c:pt>
                <c:pt idx="3">
                  <c:v>-0.23902439024390243</c:v>
                </c:pt>
                <c:pt idx="4">
                  <c:v>-2.1739130434782594E-2</c:v>
                </c:pt>
                <c:pt idx="5">
                  <c:v>-0.11538461538461542</c:v>
                </c:pt>
                <c:pt idx="12">
                  <c:v>3.4901365705614529E-2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1C0-4702-A5C1-EEABF8D57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A8B-45AC-BFC5-0A2B63854A3E}"/>
              </c:ext>
            </c:extLst>
          </c:dPt>
          <c:val>
            <c:numRef>
              <c:f>'Viajeros entr evol mensu TF cat'!$I$9:$I$21</c:f>
              <c:numCache>
                <c:formatCode>#,##0</c:formatCode>
                <c:ptCount val="13"/>
                <c:pt idx="0">
                  <c:v>23609</c:v>
                </c:pt>
                <c:pt idx="1">
                  <c:v>22775</c:v>
                </c:pt>
                <c:pt idx="2">
                  <c:v>25174</c:v>
                </c:pt>
                <c:pt idx="3">
                  <c:v>19154</c:v>
                </c:pt>
                <c:pt idx="4">
                  <c:v>17881</c:v>
                </c:pt>
                <c:pt idx="5">
                  <c:v>17983</c:v>
                </c:pt>
                <c:pt idx="6">
                  <c:v>16810</c:v>
                </c:pt>
                <c:pt idx="7">
                  <c:v>14993</c:v>
                </c:pt>
                <c:pt idx="8">
                  <c:v>15933</c:v>
                </c:pt>
                <c:pt idx="9">
                  <c:v>20553</c:v>
                </c:pt>
                <c:pt idx="10">
                  <c:v>23667</c:v>
                </c:pt>
                <c:pt idx="11">
                  <c:v>20577</c:v>
                </c:pt>
                <c:pt idx="12">
                  <c:v>239109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8B-45AC-BFC5-0A2B63854A3E}"/>
            </c:ext>
          </c:extLst>
        </c:ser>
        <c:ser>
          <c:idx val="0"/>
          <c:order val="2"/>
          <c:tx>
            <c:strRef>
              <c:f>'Viajeros entr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A8B-45AC-BFC5-0A2B63854A3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cat'!$K$9:$K$21</c:f>
              <c:numCache>
                <c:formatCode>#,##0</c:formatCode>
                <c:ptCount val="13"/>
                <c:pt idx="0">
                  <c:v>23867</c:v>
                </c:pt>
                <c:pt idx="1">
                  <c:v>22625</c:v>
                </c:pt>
                <c:pt idx="2">
                  <c:v>22971</c:v>
                </c:pt>
                <c:pt idx="3">
                  <c:v>19029</c:v>
                </c:pt>
                <c:pt idx="4">
                  <c:v>17439</c:v>
                </c:pt>
                <c:pt idx="5">
                  <c:v>19479</c:v>
                </c:pt>
                <c:pt idx="6">
                  <c:v>21632</c:v>
                </c:pt>
                <c:pt idx="7">
                  <c:v>15201</c:v>
                </c:pt>
                <c:pt idx="8">
                  <c:v>19577</c:v>
                </c:pt>
                <c:pt idx="9">
                  <c:v>19337</c:v>
                </c:pt>
                <c:pt idx="10">
                  <c:v>25085</c:v>
                </c:pt>
                <c:pt idx="11">
                  <c:v>24629</c:v>
                </c:pt>
                <c:pt idx="12">
                  <c:v>250871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8B-45AC-BFC5-0A2B63854A3E}"/>
            </c:ext>
          </c:extLst>
        </c:ser>
        <c:ser>
          <c:idx val="1"/>
          <c:order val="3"/>
          <c:tx>
            <c:strRef>
              <c:f>'Viajeros entr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A8B-45AC-BFC5-0A2B63854A3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A8B-45AC-BFC5-0A2B63854A3E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cat'!$M$9:$M$21</c:f>
              <c:numCache>
                <c:formatCode>#,##0</c:formatCode>
                <c:ptCount val="13"/>
                <c:pt idx="0">
                  <c:v>24602</c:v>
                </c:pt>
                <c:pt idx="1">
                  <c:v>24926</c:v>
                </c:pt>
                <c:pt idx="2">
                  <c:v>26883</c:v>
                </c:pt>
                <c:pt idx="3">
                  <c:v>20857</c:v>
                </c:pt>
                <c:pt idx="4">
                  <c:v>22620</c:v>
                </c:pt>
                <c:pt idx="5">
                  <c:v>20873</c:v>
                </c:pt>
                <c:pt idx="12">
                  <c:v>140761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A8B-45AC-BFC5-0A2B63854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A8B-45AC-BFC5-0A2B63854A3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20553</c:v>
                      </c:pt>
                      <c:pt idx="1">
                        <c:v>23364</c:v>
                      </c:pt>
                      <c:pt idx="2">
                        <c:v>8936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6776</c:v>
                      </c:pt>
                      <c:pt idx="8">
                        <c:v>7423</c:v>
                      </c:pt>
                      <c:pt idx="9">
                        <c:v>9298</c:v>
                      </c:pt>
                      <c:pt idx="10">
                        <c:v>8104</c:v>
                      </c:pt>
                      <c:pt idx="11">
                        <c:v>6962</c:v>
                      </c:pt>
                      <c:pt idx="12">
                        <c:v>103516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A8B-45AC-BFC5-0A2B63854A3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A8B-45AC-BFC5-0A2B63854A3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A8B-45AC-BFC5-0A2B63854A3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A8B-45AC-BFC5-0A2B63854A3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A8B-45AC-BFC5-0A2B63854A3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A8B-45AC-BFC5-0A2B63854A3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A8B-45AC-BFC5-0A2B63854A3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A8B-45AC-BFC5-0A2B63854A3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A8B-45AC-BFC5-0A2B63854A3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8B-45AC-BFC5-0A2B63854A3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8B-45AC-BFC5-0A2B63854A3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8B-45AC-BFC5-0A2B63854A3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8B-45AC-BFC5-0A2B63854A3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8B-45AC-BFC5-0A2B63854A3E}"/>
              </c:ext>
            </c:extLst>
          </c:dPt>
          <c:cat>
            <c:strRef>
              <c:f>'Viajeros entr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cat'!$N$9:$N$21</c:f>
              <c:numCache>
                <c:formatCode>0.0%</c:formatCode>
                <c:ptCount val="13"/>
                <c:pt idx="0">
                  <c:v>3.0795659278501697E-2</c:v>
                </c:pt>
                <c:pt idx="1">
                  <c:v>0.10170165745856363</c:v>
                </c:pt>
                <c:pt idx="2">
                  <c:v>0.17030168473292417</c:v>
                </c:pt>
                <c:pt idx="3">
                  <c:v>9.6063902464659234E-2</c:v>
                </c:pt>
                <c:pt idx="4">
                  <c:v>0.29709272320660585</c:v>
                </c:pt>
                <c:pt idx="5">
                  <c:v>7.1564248678063658E-2</c:v>
                </c:pt>
                <c:pt idx="12">
                  <c:v>0.12240650665816122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A8B-45AC-BFC5-0A2B63854A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15-416D-8CD8-47E31BCBD2FB}"/>
              </c:ext>
            </c:extLst>
          </c:dPt>
          <c:val>
            <c:numRef>
              <c:f>'Viajeros entr evol mensu TF cat'!$I$31:$I$43</c:f>
              <c:numCache>
                <c:formatCode>#,##0</c:formatCode>
                <c:ptCount val="13"/>
                <c:pt idx="0">
                  <c:v>23609</c:v>
                </c:pt>
                <c:pt idx="1">
                  <c:v>22775</c:v>
                </c:pt>
                <c:pt idx="2">
                  <c:v>25174</c:v>
                </c:pt>
                <c:pt idx="3">
                  <c:v>19154</c:v>
                </c:pt>
                <c:pt idx="4">
                  <c:v>17881</c:v>
                </c:pt>
                <c:pt idx="5">
                  <c:v>17983</c:v>
                </c:pt>
                <c:pt idx="6">
                  <c:v>16810</c:v>
                </c:pt>
                <c:pt idx="7">
                  <c:v>14993</c:v>
                </c:pt>
                <c:pt idx="8">
                  <c:v>15933</c:v>
                </c:pt>
                <c:pt idx="9">
                  <c:v>20553</c:v>
                </c:pt>
                <c:pt idx="10">
                  <c:v>23667</c:v>
                </c:pt>
                <c:pt idx="11">
                  <c:v>20577</c:v>
                </c:pt>
                <c:pt idx="12">
                  <c:v>239109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15-416D-8CD8-47E31BCBD2FB}"/>
            </c:ext>
          </c:extLst>
        </c:ser>
        <c:ser>
          <c:idx val="0"/>
          <c:order val="2"/>
          <c:tx>
            <c:strRef>
              <c:f>'Viajeros entr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15-416D-8CD8-47E31BCBD2F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cat'!$K$31:$K$43</c:f>
              <c:numCache>
                <c:formatCode>#,##0</c:formatCode>
                <c:ptCount val="13"/>
                <c:pt idx="0">
                  <c:v>23867</c:v>
                </c:pt>
                <c:pt idx="1">
                  <c:v>22625</c:v>
                </c:pt>
                <c:pt idx="2">
                  <c:v>22971</c:v>
                </c:pt>
                <c:pt idx="3">
                  <c:v>19029</c:v>
                </c:pt>
                <c:pt idx="4">
                  <c:v>17439</c:v>
                </c:pt>
                <c:pt idx="5">
                  <c:v>19479</c:v>
                </c:pt>
                <c:pt idx="6">
                  <c:v>21632</c:v>
                </c:pt>
                <c:pt idx="7">
                  <c:v>15201</c:v>
                </c:pt>
                <c:pt idx="8">
                  <c:v>19577</c:v>
                </c:pt>
                <c:pt idx="9">
                  <c:v>19337</c:v>
                </c:pt>
                <c:pt idx="10">
                  <c:v>25085</c:v>
                </c:pt>
                <c:pt idx="11">
                  <c:v>24629</c:v>
                </c:pt>
                <c:pt idx="12">
                  <c:v>250871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15-416D-8CD8-47E31BCBD2FB}"/>
            </c:ext>
          </c:extLst>
        </c:ser>
        <c:ser>
          <c:idx val="1"/>
          <c:order val="3"/>
          <c:tx>
            <c:strRef>
              <c:f>'Viajeros entr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15-416D-8CD8-47E31BCBD2F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915-416D-8CD8-47E31BCBD2FB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cat'!$M$31:$M$43</c:f>
              <c:numCache>
                <c:formatCode>#,##0</c:formatCode>
                <c:ptCount val="13"/>
                <c:pt idx="0">
                  <c:v>24602</c:v>
                </c:pt>
                <c:pt idx="1">
                  <c:v>24926</c:v>
                </c:pt>
                <c:pt idx="2">
                  <c:v>26883</c:v>
                </c:pt>
                <c:pt idx="3">
                  <c:v>20857</c:v>
                </c:pt>
                <c:pt idx="4">
                  <c:v>22620</c:v>
                </c:pt>
                <c:pt idx="5">
                  <c:v>20873</c:v>
                </c:pt>
                <c:pt idx="12">
                  <c:v>140761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915-416D-8CD8-47E31BCBD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915-416D-8CD8-47E31BCBD2F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20553</c:v>
                      </c:pt>
                      <c:pt idx="1">
                        <c:v>23364</c:v>
                      </c:pt>
                      <c:pt idx="2">
                        <c:v>8936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6776</c:v>
                      </c:pt>
                      <c:pt idx="8">
                        <c:v>7423</c:v>
                      </c:pt>
                      <c:pt idx="9">
                        <c:v>9298</c:v>
                      </c:pt>
                      <c:pt idx="10">
                        <c:v>8104</c:v>
                      </c:pt>
                      <c:pt idx="11">
                        <c:v>6962</c:v>
                      </c:pt>
                      <c:pt idx="12">
                        <c:v>103516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915-416D-8CD8-47E31BCBD2F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915-416D-8CD8-47E31BCBD2F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915-416D-8CD8-47E31BCBD2F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915-416D-8CD8-47E31BCBD2F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15-416D-8CD8-47E31BCBD2F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15-416D-8CD8-47E31BCBD2F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15-416D-8CD8-47E31BCBD2F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15-416D-8CD8-47E31BCBD2F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15-416D-8CD8-47E31BCBD2F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15-416D-8CD8-47E31BCBD2F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15-416D-8CD8-47E31BCBD2F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15-416D-8CD8-47E31BCBD2F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15-416D-8CD8-47E31BCBD2F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15-416D-8CD8-47E31BCBD2FB}"/>
              </c:ext>
            </c:extLst>
          </c:dPt>
          <c:cat>
            <c:strRef>
              <c:f>'Viajeros entr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cat'!$N$31:$N$43</c:f>
              <c:numCache>
                <c:formatCode>0.0%</c:formatCode>
                <c:ptCount val="13"/>
                <c:pt idx="0">
                  <c:v>3.0795659278501697E-2</c:v>
                </c:pt>
                <c:pt idx="1">
                  <c:v>0.10170165745856363</c:v>
                </c:pt>
                <c:pt idx="2">
                  <c:v>0.17030168473292417</c:v>
                </c:pt>
                <c:pt idx="3">
                  <c:v>9.6063902464659234E-2</c:v>
                </c:pt>
                <c:pt idx="4">
                  <c:v>0.29709272320660585</c:v>
                </c:pt>
                <c:pt idx="5">
                  <c:v>7.1564248678063658E-2</c:v>
                </c:pt>
                <c:pt idx="12">
                  <c:v>0.12240650665816122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915-416D-8CD8-47E31BCBD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F5-4FE7-992D-C5FB878EEDFC}"/>
              </c:ext>
            </c:extLst>
          </c:dPt>
          <c:val>
            <c:numRef>
              <c:f>'Viajeros entr evol mensu TF cat'!$I$53:$I$65</c:f>
              <c:numCache>
                <c:formatCode>#,##0</c:formatCode>
                <c:ptCount val="13"/>
                <c:pt idx="0">
                  <c:v>14009</c:v>
                </c:pt>
                <c:pt idx="1">
                  <c:v>13831</c:v>
                </c:pt>
                <c:pt idx="2">
                  <c:v>15155</c:v>
                </c:pt>
                <c:pt idx="3">
                  <c:v>11713</c:v>
                </c:pt>
                <c:pt idx="4">
                  <c:v>10695</c:v>
                </c:pt>
                <c:pt idx="5">
                  <c:v>10170</c:v>
                </c:pt>
                <c:pt idx="6">
                  <c:v>10021</c:v>
                </c:pt>
                <c:pt idx="7">
                  <c:v>9451</c:v>
                </c:pt>
                <c:pt idx="8">
                  <c:v>9475</c:v>
                </c:pt>
                <c:pt idx="9">
                  <c:v>12972</c:v>
                </c:pt>
                <c:pt idx="10">
                  <c:v>15154</c:v>
                </c:pt>
                <c:pt idx="11">
                  <c:v>12991</c:v>
                </c:pt>
                <c:pt idx="12">
                  <c:v>145637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F5-4FE7-992D-C5FB878EEDFC}"/>
            </c:ext>
          </c:extLst>
        </c:ser>
        <c:ser>
          <c:idx val="0"/>
          <c:order val="2"/>
          <c:tx>
            <c:strRef>
              <c:f>'Viajeros entr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F5-4FE7-992D-C5FB878EEDF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cat'!$K$53:$K$65</c:f>
              <c:numCache>
                <c:formatCode>#,##0</c:formatCode>
                <c:ptCount val="13"/>
                <c:pt idx="0">
                  <c:v>13713</c:v>
                </c:pt>
                <c:pt idx="1">
                  <c:v>13097</c:v>
                </c:pt>
                <c:pt idx="2">
                  <c:v>13219</c:v>
                </c:pt>
                <c:pt idx="3">
                  <c:v>11165</c:v>
                </c:pt>
                <c:pt idx="4">
                  <c:v>10226</c:v>
                </c:pt>
                <c:pt idx="5">
                  <c:v>11059</c:v>
                </c:pt>
                <c:pt idx="6">
                  <c:v>12572</c:v>
                </c:pt>
                <c:pt idx="7">
                  <c:v>9290</c:v>
                </c:pt>
                <c:pt idx="8">
                  <c:v>12468</c:v>
                </c:pt>
                <c:pt idx="9">
                  <c:v>12954</c:v>
                </c:pt>
                <c:pt idx="10">
                  <c:v>16047</c:v>
                </c:pt>
                <c:pt idx="11">
                  <c:v>15417</c:v>
                </c:pt>
                <c:pt idx="12">
                  <c:v>151227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F5-4FE7-992D-C5FB878EEDFC}"/>
            </c:ext>
          </c:extLst>
        </c:ser>
        <c:ser>
          <c:idx val="1"/>
          <c:order val="3"/>
          <c:tx>
            <c:strRef>
              <c:f>'Viajeros entr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F5-4FE7-992D-C5FB878EEDF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1F5-4FE7-992D-C5FB878EEDFC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cat'!$M$53:$M$65</c:f>
              <c:numCache>
                <c:formatCode>#,##0</c:formatCode>
                <c:ptCount val="13"/>
                <c:pt idx="0">
                  <c:v>15504</c:v>
                </c:pt>
                <c:pt idx="1">
                  <c:v>15698</c:v>
                </c:pt>
                <c:pt idx="2">
                  <c:v>17327</c:v>
                </c:pt>
                <c:pt idx="3">
                  <c:v>13392</c:v>
                </c:pt>
                <c:pt idx="4">
                  <c:v>15356</c:v>
                </c:pt>
                <c:pt idx="5">
                  <c:v>14375</c:v>
                </c:pt>
                <c:pt idx="12">
                  <c:v>91652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1F5-4FE7-992D-C5FB878EE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1F5-4FE7-992D-C5FB878EEDF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9949</c:v>
                      </c:pt>
                      <c:pt idx="1">
                        <c:v>11543</c:v>
                      </c:pt>
                      <c:pt idx="2">
                        <c:v>4800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3541</c:v>
                      </c:pt>
                      <c:pt idx="8">
                        <c:v>3927</c:v>
                      </c:pt>
                      <c:pt idx="9">
                        <c:v>5005</c:v>
                      </c:pt>
                      <c:pt idx="10">
                        <c:v>4492</c:v>
                      </c:pt>
                      <c:pt idx="11">
                        <c:v>3684</c:v>
                      </c:pt>
                      <c:pt idx="12">
                        <c:v>54788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1F5-4FE7-992D-C5FB878EEDF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1F5-4FE7-992D-C5FB878EEDF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1F5-4FE7-992D-C5FB878EEDF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1F5-4FE7-992D-C5FB878EEDF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F5-4FE7-992D-C5FB878EEDF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F5-4FE7-992D-C5FB878EEDF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F5-4FE7-992D-C5FB878EEDF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F5-4FE7-992D-C5FB878EEDF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F5-4FE7-992D-C5FB878EEDF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F5-4FE7-992D-C5FB878EEDF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F5-4FE7-992D-C5FB878EEDF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F5-4FE7-992D-C5FB878EEDF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F5-4FE7-992D-C5FB878EEDF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F5-4FE7-992D-C5FB878EEDFC}"/>
              </c:ext>
            </c:extLst>
          </c:dPt>
          <c:cat>
            <c:strRef>
              <c:f>'Viajeros entr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cat'!$N$53:$N$65</c:f>
              <c:numCache>
                <c:formatCode>0.0%</c:formatCode>
                <c:ptCount val="13"/>
                <c:pt idx="0">
                  <c:v>0.13060599431196684</c:v>
                </c:pt>
                <c:pt idx="1">
                  <c:v>0.19859509811407183</c:v>
                </c:pt>
                <c:pt idx="2">
                  <c:v>0.31076480823057717</c:v>
                </c:pt>
                <c:pt idx="3">
                  <c:v>0.19946260635915802</c:v>
                </c:pt>
                <c:pt idx="4">
                  <c:v>0.5016624291022882</c:v>
                </c:pt>
                <c:pt idx="5">
                  <c:v>0.29984627904873862</c:v>
                </c:pt>
                <c:pt idx="12">
                  <c:v>0.26453179541660332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1F5-4FE7-992D-C5FB878EED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9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205497302908249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83-40F5-B77C-C5192224FD71}"/>
              </c:ext>
            </c:extLst>
          </c:dPt>
          <c:val>
            <c:numRef>
              <c:f>'Viajeros entr evol mensu TF cat'!$I$75:$I$87</c:f>
              <c:numCache>
                <c:formatCode>#,##0</c:formatCode>
                <c:ptCount val="13"/>
                <c:pt idx="0">
                  <c:v>9600</c:v>
                </c:pt>
                <c:pt idx="1">
                  <c:v>8944</c:v>
                </c:pt>
                <c:pt idx="2">
                  <c:v>10019</c:v>
                </c:pt>
                <c:pt idx="3">
                  <c:v>7441</c:v>
                </c:pt>
                <c:pt idx="4">
                  <c:v>7186</c:v>
                </c:pt>
                <c:pt idx="5">
                  <c:v>7813</c:v>
                </c:pt>
                <c:pt idx="6">
                  <c:v>6789</c:v>
                </c:pt>
                <c:pt idx="7">
                  <c:v>5542</c:v>
                </c:pt>
                <c:pt idx="8">
                  <c:v>6458</c:v>
                </c:pt>
                <c:pt idx="9">
                  <c:v>7581</c:v>
                </c:pt>
                <c:pt idx="10">
                  <c:v>8513</c:v>
                </c:pt>
                <c:pt idx="11">
                  <c:v>7586</c:v>
                </c:pt>
                <c:pt idx="12">
                  <c:v>93472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83-40F5-B77C-C5192224FD71}"/>
            </c:ext>
          </c:extLst>
        </c:ser>
        <c:ser>
          <c:idx val="0"/>
          <c:order val="2"/>
          <c:tx>
            <c:strRef>
              <c:f>'Viajeros entr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83-40F5-B77C-C5192224FD7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cat'!$K$75:$K$87</c:f>
              <c:numCache>
                <c:formatCode>#,##0</c:formatCode>
                <c:ptCount val="13"/>
                <c:pt idx="0">
                  <c:v>10154</c:v>
                </c:pt>
                <c:pt idx="1">
                  <c:v>9528</c:v>
                </c:pt>
                <c:pt idx="2">
                  <c:v>9752</c:v>
                </c:pt>
                <c:pt idx="3">
                  <c:v>7864</c:v>
                </c:pt>
                <c:pt idx="4">
                  <c:v>7213</c:v>
                </c:pt>
                <c:pt idx="5">
                  <c:v>8420</c:v>
                </c:pt>
                <c:pt idx="6">
                  <c:v>9060</c:v>
                </c:pt>
                <c:pt idx="7">
                  <c:v>5911</c:v>
                </c:pt>
                <c:pt idx="8">
                  <c:v>7109</c:v>
                </c:pt>
                <c:pt idx="9">
                  <c:v>6383</c:v>
                </c:pt>
                <c:pt idx="10">
                  <c:v>9038</c:v>
                </c:pt>
                <c:pt idx="11">
                  <c:v>9212</c:v>
                </c:pt>
                <c:pt idx="12">
                  <c:v>99644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83-40F5-B77C-C5192224FD71}"/>
            </c:ext>
          </c:extLst>
        </c:ser>
        <c:ser>
          <c:idx val="1"/>
          <c:order val="3"/>
          <c:tx>
            <c:strRef>
              <c:f>'Viajeros entr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83-40F5-B77C-C5192224FD7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E83-40F5-B77C-C5192224FD71}"/>
              </c:ext>
            </c:extLst>
          </c:dPt>
          <c:cat>
            <c:strRef>
              <c:f>'Viajeros entr evol mensu TF cat'!$A$9:$A$21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 cat'!$M$75:$M$87</c:f>
              <c:numCache>
                <c:formatCode>#,##0</c:formatCode>
                <c:ptCount val="13"/>
                <c:pt idx="0">
                  <c:v>9098</c:v>
                </c:pt>
                <c:pt idx="1">
                  <c:v>9228</c:v>
                </c:pt>
                <c:pt idx="2">
                  <c:v>9556</c:v>
                </c:pt>
                <c:pt idx="3">
                  <c:v>7465</c:v>
                </c:pt>
                <c:pt idx="4">
                  <c:v>7264</c:v>
                </c:pt>
                <c:pt idx="5">
                  <c:v>6498</c:v>
                </c:pt>
                <c:pt idx="12">
                  <c:v>49109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E83-40F5-B77C-C5192224F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E83-40F5-B77C-C5192224FD7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 cat'!$A$9:$A$21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10604</c:v>
                      </c:pt>
                      <c:pt idx="1">
                        <c:v>11821</c:v>
                      </c:pt>
                      <c:pt idx="2">
                        <c:v>4136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3235</c:v>
                      </c:pt>
                      <c:pt idx="8">
                        <c:v>3496</c:v>
                      </c:pt>
                      <c:pt idx="9">
                        <c:v>4293</c:v>
                      </c:pt>
                      <c:pt idx="10">
                        <c:v>3612</c:v>
                      </c:pt>
                      <c:pt idx="11">
                        <c:v>3278</c:v>
                      </c:pt>
                      <c:pt idx="12">
                        <c:v>48728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E83-40F5-B77C-C5192224FD7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E83-40F5-B77C-C5192224FD7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E83-40F5-B77C-C5192224FD7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E83-40F5-B77C-C5192224FD7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83-40F5-B77C-C5192224FD7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83-40F5-B77C-C5192224FD7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83-40F5-B77C-C5192224FD7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83-40F5-B77C-C5192224FD7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83-40F5-B77C-C5192224FD7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83-40F5-B77C-C5192224FD7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83-40F5-B77C-C5192224FD7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83-40F5-B77C-C5192224FD7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83-40F5-B77C-C5192224FD7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83-40F5-B77C-C5192224FD71}"/>
              </c:ext>
            </c:extLst>
          </c:dPt>
          <c:cat>
            <c:strRef>
              <c:f>'Viajeros entr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 cat'!$N$75:$N$87</c:f>
              <c:numCache>
                <c:formatCode>0.0%</c:formatCode>
                <c:ptCount val="13"/>
                <c:pt idx="0">
                  <c:v>-0.10399842426629902</c:v>
                </c:pt>
                <c:pt idx="1">
                  <c:v>-3.1486146095717871E-2</c:v>
                </c:pt>
                <c:pt idx="2">
                  <c:v>-2.0098441345365092E-2</c:v>
                </c:pt>
                <c:pt idx="3">
                  <c:v>-5.0737538148524886E-2</c:v>
                </c:pt>
                <c:pt idx="4">
                  <c:v>7.0705670317481317E-3</c:v>
                </c:pt>
                <c:pt idx="5">
                  <c:v>-0.22826603325415673</c:v>
                </c:pt>
                <c:pt idx="12">
                  <c:v>-7.2207213164308226E-2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E83-40F5-B77C-C5192224FD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cat'!$C$8:$C$22</c:f>
              <c:numCache>
                <c:formatCode>#,##0</c:formatCode>
                <c:ptCount val="15"/>
                <c:pt idx="0">
                  <c:v>250871</c:v>
                </c:pt>
                <c:pt idx="1">
                  <c:v>239109</c:v>
                </c:pt>
                <c:pt idx="2">
                  <c:v>229131</c:v>
                </c:pt>
                <c:pt idx="3">
                  <c:v>164258</c:v>
                </c:pt>
                <c:pt idx="4">
                  <c:v>103516</c:v>
                </c:pt>
                <c:pt idx="5">
                  <c:v>220415</c:v>
                </c:pt>
                <c:pt idx="6">
                  <c:v>232309</c:v>
                </c:pt>
                <c:pt idx="7">
                  <c:v>259661</c:v>
                </c:pt>
                <c:pt idx="8">
                  <c:v>252776</c:v>
                </c:pt>
                <c:pt idx="9">
                  <c:v>230263</c:v>
                </c:pt>
                <c:pt idx="10">
                  <c:v>203159</c:v>
                </c:pt>
                <c:pt idx="11">
                  <c:v>179324</c:v>
                </c:pt>
                <c:pt idx="12">
                  <c:v>163740</c:v>
                </c:pt>
                <c:pt idx="13">
                  <c:v>167027</c:v>
                </c:pt>
                <c:pt idx="14">
                  <c:v>177319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43-43BA-94DF-238190918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cat'!$D$8:$D$22</c:f>
              <c:numCache>
                <c:formatCode>0.0%</c:formatCode>
                <c:ptCount val="15"/>
                <c:pt idx="0">
                  <c:v>4.9190954752853289E-2</c:v>
                </c:pt>
                <c:pt idx="1">
                  <c:v>4.3547141155059865E-2</c:v>
                </c:pt>
                <c:pt idx="2">
                  <c:v>0.39494575606667559</c:v>
                </c:pt>
                <c:pt idx="3">
                  <c:v>0.58678851578499946</c:v>
                </c:pt>
                <c:pt idx="4">
                  <c:v>-0.53035864165324509</c:v>
                </c:pt>
                <c:pt idx="5">
                  <c:v>-5.1199049541774122E-2</c:v>
                </c:pt>
                <c:pt idx="6">
                  <c:v>-0.10533734369042713</c:v>
                </c:pt>
                <c:pt idx="7">
                  <c:v>2.72375541981833E-2</c:v>
                </c:pt>
                <c:pt idx="8">
                  <c:v>9.7770809899983879E-2</c:v>
                </c:pt>
                <c:pt idx="9">
                  <c:v>0.1334127456819536</c:v>
                </c:pt>
                <c:pt idx="10">
                  <c:v>0.13291583948606989</c:v>
                </c:pt>
                <c:pt idx="11">
                  <c:v>9.5175277879565146E-2</c:v>
                </c:pt>
                <c:pt idx="12">
                  <c:v>-1.9679453022565241E-2</c:v>
                </c:pt>
                <c:pt idx="13">
                  <c:v>-5.804228537268985E-2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43-43BA-94DF-238190918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cat'!$C$31:$C$45</c:f>
              <c:numCache>
                <c:formatCode>#,##0</c:formatCode>
                <c:ptCount val="15"/>
                <c:pt idx="0">
                  <c:v>250871</c:v>
                </c:pt>
                <c:pt idx="1">
                  <c:v>239109</c:v>
                </c:pt>
                <c:pt idx="2">
                  <c:v>229131</c:v>
                </c:pt>
                <c:pt idx="3">
                  <c:v>164258</c:v>
                </c:pt>
                <c:pt idx="4">
                  <c:v>103516</c:v>
                </c:pt>
                <c:pt idx="5">
                  <c:v>220415</c:v>
                </c:pt>
                <c:pt idx="6">
                  <c:v>232309</c:v>
                </c:pt>
                <c:pt idx="7">
                  <c:v>259661</c:v>
                </c:pt>
                <c:pt idx="8">
                  <c:v>252776</c:v>
                </c:pt>
                <c:pt idx="9">
                  <c:v>230263</c:v>
                </c:pt>
                <c:pt idx="10">
                  <c:v>203159</c:v>
                </c:pt>
                <c:pt idx="11">
                  <c:v>179324</c:v>
                </c:pt>
                <c:pt idx="12">
                  <c:v>163740</c:v>
                </c:pt>
                <c:pt idx="13">
                  <c:v>167027</c:v>
                </c:pt>
                <c:pt idx="14">
                  <c:v>177319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FF-4D32-803D-F1DB1F090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cat'!$D$30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cat'!$B$31:$B$45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cat'!$D$31:$D$45</c:f>
              <c:numCache>
                <c:formatCode>0.0%</c:formatCode>
                <c:ptCount val="15"/>
                <c:pt idx="0">
                  <c:v>4.9190954752853289E-2</c:v>
                </c:pt>
                <c:pt idx="1">
                  <c:v>4.3547141155059865E-2</c:v>
                </c:pt>
                <c:pt idx="2">
                  <c:v>0.39494575606667559</c:v>
                </c:pt>
                <c:pt idx="3">
                  <c:v>0.58678851578499946</c:v>
                </c:pt>
                <c:pt idx="4">
                  <c:v>-0.53035864165324509</c:v>
                </c:pt>
                <c:pt idx="5">
                  <c:v>-5.1199049541774122E-2</c:v>
                </c:pt>
                <c:pt idx="6">
                  <c:v>-0.10533734369042713</c:v>
                </c:pt>
                <c:pt idx="7">
                  <c:v>2.72375541981833E-2</c:v>
                </c:pt>
                <c:pt idx="8">
                  <c:v>9.7770809899983879E-2</c:v>
                </c:pt>
                <c:pt idx="9">
                  <c:v>0.1334127456819536</c:v>
                </c:pt>
                <c:pt idx="10">
                  <c:v>0.13291583948606989</c:v>
                </c:pt>
                <c:pt idx="11">
                  <c:v>9.5175277879565146E-2</c:v>
                </c:pt>
                <c:pt idx="12">
                  <c:v>-1.9679453022565241E-2</c:v>
                </c:pt>
                <c:pt idx="13">
                  <c:v>-5.804228537268985E-2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FF-4D32-803D-F1DB1F0904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4FF-4EA2-A136-EB201D06095B}"/>
              </c:ext>
            </c:extLst>
          </c:dPt>
          <c:val>
            <c:numRef>
              <c:f>'Viajeros entr evol mensu TF'!$I$31:$I$43</c:f>
              <c:numCache>
                <c:formatCode>#,##0</c:formatCode>
                <c:ptCount val="13"/>
                <c:pt idx="0">
                  <c:v>10452</c:v>
                </c:pt>
                <c:pt idx="1">
                  <c:v>12083</c:v>
                </c:pt>
                <c:pt idx="2">
                  <c:v>15380</c:v>
                </c:pt>
                <c:pt idx="3">
                  <c:v>12270</c:v>
                </c:pt>
                <c:pt idx="4">
                  <c:v>13214</c:v>
                </c:pt>
                <c:pt idx="5">
                  <c:v>13066</c:v>
                </c:pt>
                <c:pt idx="6">
                  <c:v>11727</c:v>
                </c:pt>
                <c:pt idx="7">
                  <c:v>8822</c:v>
                </c:pt>
                <c:pt idx="8">
                  <c:v>11310</c:v>
                </c:pt>
                <c:pt idx="9">
                  <c:v>13962</c:v>
                </c:pt>
                <c:pt idx="10">
                  <c:v>13695</c:v>
                </c:pt>
                <c:pt idx="11">
                  <c:v>10449</c:v>
                </c:pt>
                <c:pt idx="12">
                  <c:v>146430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4FF-4EA2-A136-EB201D06095B}"/>
            </c:ext>
          </c:extLst>
        </c:ser>
        <c:ser>
          <c:idx val="0"/>
          <c:order val="2"/>
          <c:tx>
            <c:strRef>
              <c:f>'Viajeros entr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4FF-4EA2-A136-EB201D06095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TF'!$K$31:$K$43</c:f>
              <c:numCache>
                <c:formatCode>#,##0</c:formatCode>
                <c:ptCount val="13"/>
                <c:pt idx="0">
                  <c:v>11900</c:v>
                </c:pt>
                <c:pt idx="1">
                  <c:v>11880</c:v>
                </c:pt>
                <c:pt idx="2">
                  <c:v>12803</c:v>
                </c:pt>
                <c:pt idx="3">
                  <c:v>11832</c:v>
                </c:pt>
                <c:pt idx="4">
                  <c:v>12647</c:v>
                </c:pt>
                <c:pt idx="5">
                  <c:v>14875</c:v>
                </c:pt>
                <c:pt idx="6">
                  <c:v>16297</c:v>
                </c:pt>
                <c:pt idx="7">
                  <c:v>9303</c:v>
                </c:pt>
                <c:pt idx="8">
                  <c:v>14314</c:v>
                </c:pt>
                <c:pt idx="9">
                  <c:v>12735</c:v>
                </c:pt>
                <c:pt idx="10">
                  <c:v>14871</c:v>
                </c:pt>
                <c:pt idx="11">
                  <c:v>13109</c:v>
                </c:pt>
                <c:pt idx="12">
                  <c:v>156566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4FF-4EA2-A136-EB201D06095B}"/>
            </c:ext>
          </c:extLst>
        </c:ser>
        <c:ser>
          <c:idx val="1"/>
          <c:order val="3"/>
          <c:tx>
            <c:strRef>
              <c:f>'Viajeros entr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4FF-4EA2-A136-EB201D06095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4FF-4EA2-A136-EB201D06095B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TF'!$M$31:$M$43</c:f>
              <c:numCache>
                <c:formatCode>#,##0</c:formatCode>
                <c:ptCount val="13"/>
                <c:pt idx="0">
                  <c:v>11916</c:v>
                </c:pt>
                <c:pt idx="1">
                  <c:v>13464</c:v>
                </c:pt>
                <c:pt idx="2">
                  <c:v>15642</c:v>
                </c:pt>
                <c:pt idx="3">
                  <c:v>12892</c:v>
                </c:pt>
                <c:pt idx="4">
                  <c:v>17139</c:v>
                </c:pt>
                <c:pt idx="5">
                  <c:v>16672</c:v>
                </c:pt>
                <c:pt idx="12">
                  <c:v>87725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4FF-4EA2-A136-EB201D060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4FF-4EA2-A136-EB201D06095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9789</c:v>
                      </c:pt>
                      <c:pt idx="1">
                        <c:v>12212</c:v>
                      </c:pt>
                      <c:pt idx="2">
                        <c:v>4939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4192</c:v>
                      </c:pt>
                      <c:pt idx="8">
                        <c:v>5198</c:v>
                      </c:pt>
                      <c:pt idx="9">
                        <c:v>6718</c:v>
                      </c:pt>
                      <c:pt idx="10">
                        <c:v>5458</c:v>
                      </c:pt>
                      <c:pt idx="11">
                        <c:v>4373</c:v>
                      </c:pt>
                      <c:pt idx="12">
                        <c:v>61571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4FF-4EA2-A136-EB201D06095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4FF-4EA2-A136-EB201D06095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4FF-4EA2-A136-EB201D06095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4FF-4EA2-A136-EB201D06095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FF-4EA2-A136-EB201D06095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FF-4EA2-A136-EB201D06095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FF-4EA2-A136-EB201D06095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FF-4EA2-A136-EB201D06095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FF-4EA2-A136-EB201D06095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FF-4EA2-A136-EB201D06095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FF-4EA2-A136-EB201D06095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FF-4EA2-A136-EB201D06095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FF-4EA2-A136-EB201D06095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FF-4EA2-A136-EB201D06095B}"/>
              </c:ext>
            </c:extLst>
          </c:dPt>
          <c:cat>
            <c:strRef>
              <c:f>'Viajeros entr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TF'!$N$31:$N$43</c:f>
              <c:numCache>
                <c:formatCode>0.0%</c:formatCode>
                <c:ptCount val="13"/>
                <c:pt idx="0">
                  <c:v>1.3445378151260012E-3</c:v>
                </c:pt>
                <c:pt idx="1">
                  <c:v>0.1333333333333333</c:v>
                </c:pt>
                <c:pt idx="2">
                  <c:v>0.22174490353823328</c:v>
                </c:pt>
                <c:pt idx="3">
                  <c:v>8.9587559161595776E-2</c:v>
                </c:pt>
                <c:pt idx="4">
                  <c:v>0.3551830473630111</c:v>
                </c:pt>
                <c:pt idx="5">
                  <c:v>0.12080672268907566</c:v>
                </c:pt>
                <c:pt idx="12">
                  <c:v>0.1552339439272028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4FF-4EA2-A136-EB201D0609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cat'!$C$54:$C$68</c:f>
              <c:numCache>
                <c:formatCode>#,##0</c:formatCode>
                <c:ptCount val="15"/>
                <c:pt idx="0">
                  <c:v>151227</c:v>
                </c:pt>
                <c:pt idx="1">
                  <c:v>145637</c:v>
                </c:pt>
                <c:pt idx="2">
                  <c:v>135697</c:v>
                </c:pt>
                <c:pt idx="3">
                  <c:v>102944</c:v>
                </c:pt>
                <c:pt idx="4">
                  <c:v>54788</c:v>
                </c:pt>
                <c:pt idx="5">
                  <c:v>110828</c:v>
                </c:pt>
                <c:pt idx="6">
                  <c:v>115399</c:v>
                </c:pt>
                <c:pt idx="7">
                  <c:v>101435</c:v>
                </c:pt>
                <c:pt idx="8">
                  <c:v>74718</c:v>
                </c:pt>
                <c:pt idx="9">
                  <c:v>68694</c:v>
                </c:pt>
                <c:pt idx="10">
                  <c:v>58915</c:v>
                </c:pt>
                <c:pt idx="11">
                  <c:v>47290</c:v>
                </c:pt>
                <c:pt idx="12">
                  <c:v>44490</c:v>
                </c:pt>
                <c:pt idx="13">
                  <c:v>35910</c:v>
                </c:pt>
                <c:pt idx="14">
                  <c:v>31589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E3F-4BD8-BCE1-9FD2E9F29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'Viajeros entr evol anual TF cat'!$D$53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'Viajeros entr evol anual TF cat'!$B$54:$B$68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'Viajeros entr evol anual TF cat'!$D$54:$D$68</c:f>
              <c:numCache>
                <c:formatCode>0.0%</c:formatCode>
                <c:ptCount val="15"/>
                <c:pt idx="0">
                  <c:v>3.8383103194929769E-2</c:v>
                </c:pt>
                <c:pt idx="1">
                  <c:v>7.3251435182796865E-2</c:v>
                </c:pt>
                <c:pt idx="2">
                  <c:v>0.31816327323593407</c:v>
                </c:pt>
                <c:pt idx="3">
                  <c:v>0.87895159523983346</c:v>
                </c:pt>
                <c:pt idx="4">
                  <c:v>-0.50564839210307866</c:v>
                </c:pt>
                <c:pt idx="5">
                  <c:v>-3.9610395237393736E-2</c:v>
                </c:pt>
                <c:pt idx="6">
                  <c:v>0.13766451422092962</c:v>
                </c:pt>
                <c:pt idx="7">
                  <c:v>0.35757113413099928</c:v>
                </c:pt>
                <c:pt idx="8">
                  <c:v>8.7693248318630346E-2</c:v>
                </c:pt>
                <c:pt idx="9">
                  <c:v>0.16598489349062207</c:v>
                </c:pt>
                <c:pt idx="10">
                  <c:v>0.24582364136181001</c:v>
                </c:pt>
                <c:pt idx="11">
                  <c:v>6.2935491121600462E-2</c:v>
                </c:pt>
                <c:pt idx="12">
                  <c:v>0.23893065998329166</c:v>
                </c:pt>
                <c:pt idx="13">
                  <c:v>0.13678812244768745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E3F-4BD8-BCE1-9FD2E9F299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7.372732290890549E-2"/>
          <c:y val="0.28154949862036477"/>
          <c:w val="0.95795330741250462"/>
          <c:h val="0.396946766269600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 años '!$T$6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5B3-4505-97B3-66A84FD2256F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5B3-4505-97B3-66A84FD2256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5B3-4505-97B3-66A84FD2256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5B3-4505-97B3-66A84FD2256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5B3-4505-97B3-66A84FD2256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5B3-4505-97B3-66A84FD2256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5B3-4505-97B3-66A84FD2256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5B3-4505-97B3-66A84FD2256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'!$T$8:$T$9,'viaj entrados lugar resid años '!$T$12:$T$20)</c:f>
              <c:numCache>
                <c:formatCode>#,##0</c:formatCode>
                <c:ptCount val="11"/>
                <c:pt idx="0">
                  <c:v>250871</c:v>
                </c:pt>
                <c:pt idx="1">
                  <c:v>156566</c:v>
                </c:pt>
                <c:pt idx="2">
                  <c:v>94305</c:v>
                </c:pt>
                <c:pt idx="3">
                  <c:v>10656</c:v>
                </c:pt>
                <c:pt idx="4">
                  <c:v>13127</c:v>
                </c:pt>
                <c:pt idx="5">
                  <c:v>8567</c:v>
                </c:pt>
                <c:pt idx="6">
                  <c:v>2356</c:v>
                </c:pt>
                <c:pt idx="7">
                  <c:v>2091</c:v>
                </c:pt>
                <c:pt idx="8">
                  <c:v>1334</c:v>
                </c:pt>
                <c:pt idx="9">
                  <c:v>2493</c:v>
                </c:pt>
                <c:pt idx="10">
                  <c:v>53681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5B3-4505-97B3-66A84FD2256F}"/>
            </c:ext>
          </c:extLst>
        </c:ser>
        <c:ser>
          <c:idx val="1"/>
          <c:order val="1"/>
          <c:tx>
            <c:strRef>
              <c:f>'viaj entrados lugar resid años '!$U$6</c:f>
              <c:strCache>
                <c:ptCount val="1"/>
                <c:pt idx="0">
                  <c:v>var. 24/23</c:v>
                </c:pt>
              </c:strCache>
            </c:strRef>
          </c:tx>
          <c:invertIfNegative val="0"/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'!$U$8:$U$9,'viaj entrados lugar resid años '!$U$12:$U$20)</c:f>
              <c:numCache>
                <c:formatCode>0.0%</c:formatCode>
                <c:ptCount val="11"/>
                <c:pt idx="0">
                  <c:v>4.9190954752853289E-2</c:v>
                </c:pt>
                <c:pt idx="1">
                  <c:v>6.9220788089872309E-2</c:v>
                </c:pt>
                <c:pt idx="2">
                  <c:v>1.7544427540219454E-2</c:v>
                </c:pt>
                <c:pt idx="3">
                  <c:v>-8.5007727975270453E-2</c:v>
                </c:pt>
                <c:pt idx="4">
                  <c:v>-1.4193451486932962E-2</c:v>
                </c:pt>
                <c:pt idx="5">
                  <c:v>-2.1585198720877163E-2</c:v>
                </c:pt>
                <c:pt idx="6">
                  <c:v>-0.10656048540007579</c:v>
                </c:pt>
                <c:pt idx="7">
                  <c:v>8.1178903826266913E-2</c:v>
                </c:pt>
                <c:pt idx="8">
                  <c:v>-5.2199850857569396E-3</c:v>
                </c:pt>
                <c:pt idx="9">
                  <c:v>1.5478615071283119E-2</c:v>
                </c:pt>
                <c:pt idx="10">
                  <c:v>6.1015140135193935E-2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5B3-4505-97B3-66A84FD2256F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5B3-4505-97B3-66A84FD2256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5B3-4505-97B3-66A84FD2256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5B3-4505-97B3-66A84FD2256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5B3-4505-97B3-66A84FD2256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5B3-4505-97B3-66A84FD2256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5B3-4505-97B3-66A84FD2256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5B3-4505-97B3-66A84FD2256F}"/>
              </c:ext>
            </c:extLst>
          </c:dPt>
          <c:cat>
            <c:strRef>
              <c:f>('viaj entrados lugar resid años '!$N$8:$N$9,'viaj entrados lugar resid años '!$N$12:$N$20)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 años '!$W$8:$W$9,'viaj entrados lugar resid años '!$W$12:$W$20)</c:f>
              <c:numCache>
                <c:formatCode>0.0%</c:formatCode>
                <c:ptCount val="11"/>
                <c:pt idx="0">
                  <c:v>1</c:v>
                </c:pt>
                <c:pt idx="1">
                  <c:v>0.6240896715842007</c:v>
                </c:pt>
                <c:pt idx="2">
                  <c:v>0.37591032841579936</c:v>
                </c:pt>
                <c:pt idx="3">
                  <c:v>4.2476013568726559E-2</c:v>
                </c:pt>
                <c:pt idx="4">
                  <c:v>5.2325697270708849E-2</c:v>
                </c:pt>
                <c:pt idx="5">
                  <c:v>3.4149024797605142E-2</c:v>
                </c:pt>
                <c:pt idx="6">
                  <c:v>9.3912807777702476E-3</c:v>
                </c:pt>
                <c:pt idx="7">
                  <c:v>8.3349609958903188E-3</c:v>
                </c:pt>
                <c:pt idx="8">
                  <c:v>5.3174739208597249E-3</c:v>
                </c:pt>
                <c:pt idx="9">
                  <c:v>9.9373781744402506E-3</c:v>
                </c:pt>
                <c:pt idx="10">
                  <c:v>0.21397849890979825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5B3-4505-97B3-66A84FD225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8932313911888835"/>
          <c:w val="0.95795330741250462"/>
          <c:h val="0.4292076272420834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residencia'!$R$9</c:f>
              <c:strCache>
                <c:ptCount val="1"/>
                <c:pt idx="0">
                  <c:v>junio 2024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D6B8-422C-B521-3745218EB288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D6B8-422C-B521-3745218EB28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D6B8-422C-B521-3745218EB28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D6B8-422C-B521-3745218EB28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D6B8-422C-B521-3745218EB288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D6B8-422C-B521-3745218EB288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D6B8-422C-B521-3745218EB288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D6B8-422C-B521-3745218EB288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residencia'!$R$11:$R$23</c:f>
              <c:numCache>
                <c:formatCode>#,##0</c:formatCode>
                <c:ptCount val="13"/>
                <c:pt idx="0">
                  <c:v>19479</c:v>
                </c:pt>
                <c:pt idx="1">
                  <c:v>14875</c:v>
                </c:pt>
                <c:pt idx="2">
                  <c:v>7333</c:v>
                </c:pt>
                <c:pt idx="3">
                  <c:v>7542</c:v>
                </c:pt>
                <c:pt idx="4">
                  <c:v>4604</c:v>
                </c:pt>
                <c:pt idx="5">
                  <c:v>683</c:v>
                </c:pt>
                <c:pt idx="6">
                  <c:v>414</c:v>
                </c:pt>
                <c:pt idx="7">
                  <c:v>365</c:v>
                </c:pt>
                <c:pt idx="8">
                  <c:v>103</c:v>
                </c:pt>
                <c:pt idx="9">
                  <c:v>117</c:v>
                </c:pt>
                <c:pt idx="10">
                  <c:v>39</c:v>
                </c:pt>
                <c:pt idx="11">
                  <c:v>26</c:v>
                </c:pt>
                <c:pt idx="12">
                  <c:v>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D6B8-422C-B521-3745218EB288}"/>
            </c:ext>
          </c:extLst>
        </c:ser>
        <c:ser>
          <c:idx val="1"/>
          <c:order val="1"/>
          <c:tx>
            <c:strRef>
              <c:f>'viaj entrados lugar residencia'!$S$9</c:f>
              <c:strCache>
                <c:ptCount val="1"/>
                <c:pt idx="0">
                  <c:v>junio 2025</c:v>
                </c:pt>
              </c:strCache>
            </c:strRef>
          </c:tx>
          <c:invertIfNegative val="0"/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residencia'!$S$11:$S$23</c:f>
              <c:numCache>
                <c:formatCode>0.0%</c:formatCode>
                <c:ptCount val="13"/>
                <c:pt idx="0">
                  <c:v>8.3189679141411288E-2</c:v>
                </c:pt>
                <c:pt idx="1">
                  <c:v>0.13845094137455982</c:v>
                </c:pt>
                <c:pt idx="2">
                  <c:v>0.15498503701370292</c:v>
                </c:pt>
                <c:pt idx="3">
                  <c:v>0.12282268870031254</c:v>
                </c:pt>
                <c:pt idx="4">
                  <c:v>-6.365670124059386E-2</c:v>
                </c:pt>
                <c:pt idx="5">
                  <c:v>-0.21942857142857142</c:v>
                </c:pt>
                <c:pt idx="6">
                  <c:v>-0.1228813559322034</c:v>
                </c:pt>
                <c:pt idx="7">
                  <c:v>-0.17233560090702948</c:v>
                </c:pt>
                <c:pt idx="8">
                  <c:v>0.19767441860465107</c:v>
                </c:pt>
                <c:pt idx="9">
                  <c:v>0.36046511627906974</c:v>
                </c:pt>
                <c:pt idx="10">
                  <c:v>0.5</c:v>
                </c:pt>
                <c:pt idx="11">
                  <c:v>-0.21212121212121215</c:v>
                </c:pt>
                <c:pt idx="12">
                  <c:v>-1.4147688060731523E-2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6B8-422C-B521-3745218EB288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D6B8-422C-B521-3745218EB288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D6B8-422C-B521-3745218EB288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D6B8-422C-B521-3745218EB288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D6B8-422C-B521-3745218EB288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D6B8-422C-B521-3745218EB288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D6B8-422C-B521-3745218EB288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D6B8-422C-B521-3745218EB288}"/>
              </c:ext>
            </c:extLst>
          </c:dPt>
          <c:cat>
            <c:strRef>
              <c:f>'viaj entrados lugar residencia'!$M$11:$M$23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entrados lugar residencia'!$T$11:$T$23</c:f>
              <c:numCache>
                <c:formatCode>0.0%</c:formatCode>
                <c:ptCount val="13"/>
                <c:pt idx="0">
                  <c:v>1</c:v>
                </c:pt>
                <c:pt idx="1">
                  <c:v>0.76364289747933667</c:v>
                </c:pt>
                <c:pt idx="2">
                  <c:v>0.37645669695569589</c:v>
                </c:pt>
                <c:pt idx="3">
                  <c:v>0.38718620052364083</c:v>
                </c:pt>
                <c:pt idx="4">
                  <c:v>0.23635710252066328</c:v>
                </c:pt>
                <c:pt idx="5">
                  <c:v>3.5063401611992402E-2</c:v>
                </c:pt>
                <c:pt idx="6">
                  <c:v>2.1253657785307255E-2</c:v>
                </c:pt>
                <c:pt idx="7">
                  <c:v>1.8738128240669439E-2</c:v>
                </c:pt>
                <c:pt idx="8">
                  <c:v>5.2877457775039787E-3</c:v>
                </c:pt>
                <c:pt idx="9">
                  <c:v>6.0064685045433542E-3</c:v>
                </c:pt>
                <c:pt idx="10">
                  <c:v>2.0021561681811181E-3</c:v>
                </c:pt>
                <c:pt idx="11">
                  <c:v>1.334770778787412E-3</c:v>
                </c:pt>
                <c:pt idx="12">
                  <c:v>0.14667077365367831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D6B8-422C-B521-3745218EB2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1825749224955904"/>
          <c:w val="0.95795330741250462"/>
          <c:h val="0.3801301153145330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acu'!$V$7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172A-45EA-BFDC-7EDA7B6A24E0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172A-45EA-BFDC-7EDA7B6A24E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72A-45EA-BFDC-7EDA7B6A24E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72A-45EA-BFDC-7EDA7B6A24E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72A-45EA-BFDC-7EDA7B6A24E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72A-45EA-BFDC-7EDA7B6A24E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72A-45EA-BFDC-7EDA7B6A24E0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172A-45EA-BFDC-7EDA7B6A24E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acu'!$V$9:$V$10,'viaj entrados lugar residen acu'!$V$13:$V$21)</c:f>
              <c:numCache>
                <c:formatCode>#,##0</c:formatCode>
                <c:ptCount val="11"/>
                <c:pt idx="0">
                  <c:v>140761</c:v>
                </c:pt>
                <c:pt idx="1">
                  <c:v>87725</c:v>
                </c:pt>
                <c:pt idx="2">
                  <c:v>53036</c:v>
                </c:pt>
                <c:pt idx="3">
                  <c:v>5509</c:v>
                </c:pt>
                <c:pt idx="4">
                  <c:v>8018</c:v>
                </c:pt>
                <c:pt idx="5">
                  <c:v>4275</c:v>
                </c:pt>
                <c:pt idx="6">
                  <c:v>1298</c:v>
                </c:pt>
                <c:pt idx="7">
                  <c:v>1127</c:v>
                </c:pt>
                <c:pt idx="8">
                  <c:v>669</c:v>
                </c:pt>
                <c:pt idx="9">
                  <c:v>1364</c:v>
                </c:pt>
                <c:pt idx="10">
                  <c:v>30776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72A-45EA-BFDC-7EDA7B6A24E0}"/>
            </c:ext>
          </c:extLst>
        </c:ser>
        <c:ser>
          <c:idx val="1"/>
          <c:order val="1"/>
          <c:tx>
            <c:strRef>
              <c:f>'viaj entrados lugar residen acu'!$W$7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acu'!$W$9:$W$10,'viaj entrados lugar residen acu'!$W$13:$W$21)</c:f>
              <c:numCache>
                <c:formatCode>0.0%</c:formatCode>
                <c:ptCount val="11"/>
                <c:pt idx="0">
                  <c:v>0.12240650665816122</c:v>
                </c:pt>
                <c:pt idx="1">
                  <c:v>0.1552339439272028</c:v>
                </c:pt>
                <c:pt idx="2">
                  <c:v>7.20190811149517E-2</c:v>
                </c:pt>
                <c:pt idx="3">
                  <c:v>-8.761179198410074E-2</c:v>
                </c:pt>
                <c:pt idx="4">
                  <c:v>0.11873866331798522</c:v>
                </c:pt>
                <c:pt idx="5">
                  <c:v>3.1114327062228719E-2</c:v>
                </c:pt>
                <c:pt idx="6">
                  <c:v>3.9231385108086547E-2</c:v>
                </c:pt>
                <c:pt idx="7">
                  <c:v>0.11253701875616984</c:v>
                </c:pt>
                <c:pt idx="8">
                  <c:v>-0.22027972027972031</c:v>
                </c:pt>
                <c:pt idx="9">
                  <c:v>3.4901365705614529E-2</c:v>
                </c:pt>
                <c:pt idx="10">
                  <c:v>0.11168906227423792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72A-45EA-BFDC-7EDA7B6A24E0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172A-45EA-BFDC-7EDA7B6A24E0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172A-45EA-BFDC-7EDA7B6A24E0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172A-45EA-BFDC-7EDA7B6A24E0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172A-45EA-BFDC-7EDA7B6A24E0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172A-45EA-BFDC-7EDA7B6A24E0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172A-45EA-BFDC-7EDA7B6A24E0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172A-45EA-BFDC-7EDA7B6A24E0}"/>
              </c:ext>
            </c:extLst>
          </c:dPt>
          <c:cat>
            <c:strRef>
              <c:f>('viaj entrados lugar residen acu'!$P$9:$P$10,'viaj entrados lugar residen acu'!$P$13:$P$21)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acu'!$Y$9:$Y$10,'viaj entrados lugar residen acu'!$Y$13:$Y$21)</c:f>
              <c:numCache>
                <c:formatCode>0.0%</c:formatCode>
                <c:ptCount val="11"/>
                <c:pt idx="0">
                  <c:v>1</c:v>
                </c:pt>
                <c:pt idx="1">
                  <c:v>0.62321949971938251</c:v>
                </c:pt>
                <c:pt idx="2">
                  <c:v>0.37678050028061749</c:v>
                </c:pt>
                <c:pt idx="3">
                  <c:v>3.9137261031109469E-2</c:v>
                </c:pt>
                <c:pt idx="4">
                  <c:v>5.6961800498717685E-2</c:v>
                </c:pt>
                <c:pt idx="5">
                  <c:v>3.0370628227989287E-2</c:v>
                </c:pt>
                <c:pt idx="6">
                  <c:v>9.2213041964748759E-3</c:v>
                </c:pt>
                <c:pt idx="7">
                  <c:v>8.006479067355304E-3</c:v>
                </c:pt>
                <c:pt idx="8">
                  <c:v>4.7527369086607799E-3</c:v>
                </c:pt>
                <c:pt idx="9">
                  <c:v>9.6901840708719031E-3</c:v>
                </c:pt>
                <c:pt idx="10">
                  <c:v>0.2186401062794382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172A-45EA-BFDC-7EDA7B6A2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442828298014062"/>
          <c:y val="0.20632289384879521"/>
          <c:w val="0.95795330741250462"/>
          <c:h val="0.3849039546748385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entrados lugar residen hot'!$T$7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57-4249-80F9-865F739DD441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157-4249-80F9-865F739DD44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157-4249-80F9-865F739DD44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157-4249-80F9-865F739DD441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157-4249-80F9-865F739DD441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157-4249-80F9-865F739DD441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157-4249-80F9-865F739DD441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157-4249-80F9-865F739DD441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hot'!$T$9:$T$10,'viaj entrados lugar residen hot'!$T$13:$T$21)</c:f>
              <c:numCache>
                <c:formatCode>#,##0</c:formatCode>
                <c:ptCount val="11"/>
                <c:pt idx="0">
                  <c:v>140761</c:v>
                </c:pt>
                <c:pt idx="1">
                  <c:v>87725</c:v>
                </c:pt>
                <c:pt idx="2">
                  <c:v>53036</c:v>
                </c:pt>
                <c:pt idx="3">
                  <c:v>5509</c:v>
                </c:pt>
                <c:pt idx="4">
                  <c:v>8018</c:v>
                </c:pt>
                <c:pt idx="5">
                  <c:v>4275</c:v>
                </c:pt>
                <c:pt idx="6">
                  <c:v>1298</c:v>
                </c:pt>
                <c:pt idx="7">
                  <c:v>1127</c:v>
                </c:pt>
                <c:pt idx="8">
                  <c:v>669</c:v>
                </c:pt>
                <c:pt idx="9">
                  <c:v>1364</c:v>
                </c:pt>
                <c:pt idx="10">
                  <c:v>30776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157-4249-80F9-865F739DD441}"/>
            </c:ext>
          </c:extLst>
        </c:ser>
        <c:ser>
          <c:idx val="1"/>
          <c:order val="1"/>
          <c:tx>
            <c:strRef>
              <c:f>'viaj entrados lugar residen hot'!$U$7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hot'!$U$9:$U$10,'viaj entrados lugar residen hot'!$U$13:$U$21)</c:f>
              <c:numCache>
                <c:formatCode>0.0%</c:formatCode>
                <c:ptCount val="11"/>
                <c:pt idx="0">
                  <c:v>0.12240650665816122</c:v>
                </c:pt>
                <c:pt idx="1">
                  <c:v>0.1552339439272028</c:v>
                </c:pt>
                <c:pt idx="2">
                  <c:v>7.20190811149517E-2</c:v>
                </c:pt>
                <c:pt idx="3">
                  <c:v>-8.761179198410074E-2</c:v>
                </c:pt>
                <c:pt idx="4">
                  <c:v>0.11873866331798522</c:v>
                </c:pt>
                <c:pt idx="5">
                  <c:v>3.1114327062228719E-2</c:v>
                </c:pt>
                <c:pt idx="6">
                  <c:v>3.9231385108086547E-2</c:v>
                </c:pt>
                <c:pt idx="7">
                  <c:v>0.11253701875616984</c:v>
                </c:pt>
                <c:pt idx="8">
                  <c:v>-0.22027972027972031</c:v>
                </c:pt>
                <c:pt idx="9">
                  <c:v>3.4901365705614529E-2</c:v>
                </c:pt>
                <c:pt idx="10">
                  <c:v>0.11168906227423792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157-4249-80F9-865F739DD441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E157-4249-80F9-865F739DD441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E157-4249-80F9-865F739DD441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E157-4249-80F9-865F739DD441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E157-4249-80F9-865F739DD441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E157-4249-80F9-865F739DD441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E157-4249-80F9-865F739DD441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E157-4249-80F9-865F739DD441}"/>
              </c:ext>
            </c:extLst>
          </c:dPt>
          <c:cat>
            <c:strRef>
              <c:f>('viaj entrados lugar residen hot'!$N$9:$N$10,'viaj entrados lugar residen hot'!$N$13:$N$21)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entrados lugar residen hot'!$W$9:$W$10,'viaj entrados lugar residen hot'!$W$13:$W$21)</c:f>
              <c:numCache>
                <c:formatCode>0.0%</c:formatCode>
                <c:ptCount val="11"/>
                <c:pt idx="0">
                  <c:v>1</c:v>
                </c:pt>
                <c:pt idx="1">
                  <c:v>0.62321949971938251</c:v>
                </c:pt>
                <c:pt idx="2">
                  <c:v>0.37678050028061749</c:v>
                </c:pt>
                <c:pt idx="3">
                  <c:v>3.9137261031109469E-2</c:v>
                </c:pt>
                <c:pt idx="4">
                  <c:v>5.6961800498717685E-2</c:v>
                </c:pt>
                <c:pt idx="5">
                  <c:v>3.0370628227989287E-2</c:v>
                </c:pt>
                <c:pt idx="6">
                  <c:v>9.2213041964748759E-3</c:v>
                </c:pt>
                <c:pt idx="7">
                  <c:v>8.006479067355304E-3</c:v>
                </c:pt>
                <c:pt idx="8">
                  <c:v>4.7527369086607799E-3</c:v>
                </c:pt>
                <c:pt idx="9">
                  <c:v>9.6901840708719031E-3</c:v>
                </c:pt>
                <c:pt idx="10">
                  <c:v>0.2186401062794382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E157-4249-80F9-865F739DD4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958193173347365"/>
          <c:y val="0.16568511642811568"/>
          <c:w val="0.95795330741250462"/>
          <c:h val="0.513800248653128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 lugar residen mes'!$P$8</c:f>
              <c:strCache>
                <c:ptCount val="1"/>
                <c:pt idx="0">
                  <c:v>junio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02-4F83-8058-04B6A3B89A2F}"/>
              </c:ext>
            </c:extLst>
          </c:dPt>
          <c:dPt>
            <c:idx val="2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802-4F83-8058-04B6A3B89A2F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0802-4F83-8058-04B6A3B89A2F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802-4F83-8058-04B6A3B89A2F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802-4F83-8058-04B6A3B89A2F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802-4F83-8058-04B6A3B89A2F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802-4F83-8058-04B6A3B89A2F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802-4F83-8058-04B6A3B89A2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mes'!$P$10,'viaj aloj lugar residen mes'!$P$11,'viaj aloj lugar residen mes'!$P$14:$P$22)</c:f>
              <c:numCache>
                <c:formatCode>#,##0</c:formatCode>
                <c:ptCount val="11"/>
                <c:pt idx="0">
                  <c:v>21402</c:v>
                </c:pt>
                <c:pt idx="1">
                  <c:v>16942</c:v>
                </c:pt>
                <c:pt idx="2">
                  <c:v>4460</c:v>
                </c:pt>
                <c:pt idx="3">
                  <c:v>387</c:v>
                </c:pt>
                <c:pt idx="4">
                  <c:v>361</c:v>
                </c:pt>
                <c:pt idx="5">
                  <c:v>421</c:v>
                </c:pt>
                <c:pt idx="6">
                  <c:v>112</c:v>
                </c:pt>
                <c:pt idx="7">
                  <c:v>117</c:v>
                </c:pt>
                <c:pt idx="8">
                  <c:v>27</c:v>
                </c:pt>
                <c:pt idx="9">
                  <c:v>23</c:v>
                </c:pt>
                <c:pt idx="10">
                  <c:v>3012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802-4F83-8058-04B6A3B89A2F}"/>
            </c:ext>
          </c:extLst>
        </c:ser>
        <c:ser>
          <c:idx val="1"/>
          <c:order val="1"/>
          <c:tx>
            <c:strRef>
              <c:f>'viaj aloj lugar residen mes'!$Q$8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mes'!$Q$10,'viaj aloj lugar residen mes'!$Q$11,'viaj aloj lugar residen mes'!$Q$14:$Q$22)</c:f>
              <c:numCache>
                <c:formatCode>0.0%</c:formatCode>
                <c:ptCount val="11"/>
                <c:pt idx="0">
                  <c:v>6.0082222992718703E-2</c:v>
                </c:pt>
                <c:pt idx="1">
                  <c:v>0.10573032241221769</c:v>
                </c:pt>
                <c:pt idx="2">
                  <c:v>-8.3624409287035184E-2</c:v>
                </c:pt>
                <c:pt idx="3">
                  <c:v>-0.45416078984485186</c:v>
                </c:pt>
                <c:pt idx="4">
                  <c:v>-0.18140589569161003</c:v>
                </c:pt>
                <c:pt idx="5">
                  <c:v>9.3506493506493538E-2</c:v>
                </c:pt>
                <c:pt idx="6">
                  <c:v>7.6923076923076872E-2</c:v>
                </c:pt>
                <c:pt idx="7">
                  <c:v>-8.59375E-2</c:v>
                </c:pt>
                <c:pt idx="8">
                  <c:v>-0.4</c:v>
                </c:pt>
                <c:pt idx="9">
                  <c:v>-0.11538461538461542</c:v>
                </c:pt>
                <c:pt idx="10">
                  <c:v>-5.6124133377352114E-3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0802-4F83-8058-04B6A3B89A2F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0802-4F83-8058-04B6A3B89A2F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0802-4F83-8058-04B6A3B89A2F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0802-4F83-8058-04B6A3B89A2F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0802-4F83-8058-04B6A3B89A2F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0802-4F83-8058-04B6A3B89A2F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0802-4F83-8058-04B6A3B89A2F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0802-4F83-8058-04B6A3B89A2F}"/>
              </c:ext>
            </c:extLst>
          </c:dPt>
          <c:cat>
            <c:strRef>
              <c:f>('viaj aloj lugar residen mes'!$K$10,'viaj aloj lugar residen mes'!$K$11,'viaj aloj lugar residen mes'!$K$14:$K$22)</c:f>
              <c:strCache>
                <c:ptCount val="11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Total residentes en el extranjero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Países Bajos</c:v>
                </c:pt>
                <c:pt idx="7">
                  <c:v>Bélgica</c:v>
                </c:pt>
                <c:pt idx="8">
                  <c:v>Dinamarca</c:v>
                </c:pt>
                <c:pt idx="9">
                  <c:v>Suecia</c:v>
                </c:pt>
                <c:pt idx="10">
                  <c:v>Otros países</c:v>
                </c:pt>
              </c:strCache>
            </c:strRef>
          </c:cat>
          <c:val>
            <c:numRef>
              <c:f>('viaj aloj lugar residen mes'!$R$10:$R$11,'viaj aloj lugar residen mes'!$R$14:$R$22)</c:f>
              <c:numCache>
                <c:formatCode>0.0%</c:formatCode>
                <c:ptCount val="11"/>
                <c:pt idx="0">
                  <c:v>1</c:v>
                </c:pt>
                <c:pt idx="1">
                  <c:v>0.79160826091019532</c:v>
                </c:pt>
                <c:pt idx="2">
                  <c:v>0.20839173908980468</c:v>
                </c:pt>
                <c:pt idx="3">
                  <c:v>1.8082422203532379E-2</c:v>
                </c:pt>
                <c:pt idx="4">
                  <c:v>1.6867582468928138E-2</c:v>
                </c:pt>
                <c:pt idx="5">
                  <c:v>1.9671058779553312E-2</c:v>
                </c:pt>
                <c:pt idx="6">
                  <c:v>5.2331557798336601E-3</c:v>
                </c:pt>
                <c:pt idx="7">
                  <c:v>5.4667788057190915E-3</c:v>
                </c:pt>
                <c:pt idx="8">
                  <c:v>1.2615643397813289E-3</c:v>
                </c:pt>
                <c:pt idx="9">
                  <c:v>1.0746659190729838E-3</c:v>
                </c:pt>
                <c:pt idx="10">
                  <c:v>0.14073451079338378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0802-4F83-8058-04B6A3B89A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551459596079018"/>
          <c:y val="0.19048427217274536"/>
          <c:w val="0.82247339202719794"/>
          <c:h val="0.409531703273932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'viaj alojados lugar residen acu'!$U$7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DA-44CF-926B-6995413DCA2E}"/>
              </c:ext>
            </c:extLst>
          </c:dPt>
          <c:dPt>
            <c:idx val="4"/>
            <c:invertIfNegative val="0"/>
            <c:bubble3D val="0"/>
            <c:spPr>
              <a:solidFill>
                <a:srgbClr val="0047BA">
                  <a:lumMod val="40000"/>
                  <a:lumOff val="60000"/>
                </a:srgb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ADA-44CF-926B-6995413DCA2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AADA-44CF-926B-6995413DCA2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AADA-44CF-926B-6995413DCA2E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AADA-44CF-926B-6995413DCA2E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AADA-44CF-926B-6995413DCA2E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AADA-44CF-926B-6995413DCA2E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AADA-44CF-926B-6995413DCA2E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acu'!$U$9:$U$21</c:f>
              <c:numCache>
                <c:formatCode>#,##0</c:formatCode>
                <c:ptCount val="13"/>
                <c:pt idx="0">
                  <c:v>146899</c:v>
                </c:pt>
                <c:pt idx="1">
                  <c:v>90645</c:v>
                </c:pt>
                <c:pt idx="2">
                  <c:v>45236</c:v>
                </c:pt>
                <c:pt idx="3">
                  <c:v>45409</c:v>
                </c:pt>
                <c:pt idx="4">
                  <c:v>56254</c:v>
                </c:pt>
                <c:pt idx="5">
                  <c:v>5889</c:v>
                </c:pt>
                <c:pt idx="6">
                  <c:v>8602</c:v>
                </c:pt>
                <c:pt idx="7">
                  <c:v>4524</c:v>
                </c:pt>
                <c:pt idx="8">
                  <c:v>1402</c:v>
                </c:pt>
                <c:pt idx="9">
                  <c:v>1193</c:v>
                </c:pt>
                <c:pt idx="10">
                  <c:v>734</c:v>
                </c:pt>
                <c:pt idx="11">
                  <c:v>1392</c:v>
                </c:pt>
                <c:pt idx="12">
                  <c:v>32518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AADA-44CF-926B-6995413DCA2E}"/>
            </c:ext>
          </c:extLst>
        </c:ser>
        <c:ser>
          <c:idx val="1"/>
          <c:order val="1"/>
          <c:tx>
            <c:strRef>
              <c:f>'viaj alojados lugar residen acu'!$V$7</c:f>
              <c:strCache>
                <c:ptCount val="1"/>
                <c:pt idx="0">
                  <c:v>var. 25/24</c:v>
                </c:pt>
              </c:strCache>
            </c:strRef>
          </c:tx>
          <c:invertIfNegative val="0"/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acu'!$V$9:$V$21</c:f>
              <c:numCache>
                <c:formatCode>0.0%</c:formatCode>
                <c:ptCount val="13"/>
                <c:pt idx="0">
                  <c:v>0.11832729376655804</c:v>
                </c:pt>
                <c:pt idx="1">
                  <c:v>0.16162392833801076</c:v>
                </c:pt>
                <c:pt idx="2">
                  <c:v>0.29400995480290626</c:v>
                </c:pt>
                <c:pt idx="3">
                  <c:v>5.4184561810795229E-2</c:v>
                </c:pt>
                <c:pt idx="4">
                  <c:v>5.496689983684333E-2</c:v>
                </c:pt>
                <c:pt idx="5">
                  <c:v>-0.10637329286798181</c:v>
                </c:pt>
                <c:pt idx="6">
                  <c:v>0.10282051282051285</c:v>
                </c:pt>
                <c:pt idx="7">
                  <c:v>1.6400808807009559E-2</c:v>
                </c:pt>
                <c:pt idx="8">
                  <c:v>4.5488441461595919E-2</c:v>
                </c:pt>
                <c:pt idx="9">
                  <c:v>0.10565338276181646</c:v>
                </c:pt>
                <c:pt idx="10">
                  <c:v>-0.20905172413793105</c:v>
                </c:pt>
                <c:pt idx="11">
                  <c:v>-2.7932960893854775E-2</c:v>
                </c:pt>
                <c:pt idx="12">
                  <c:v>9.4808430408726663E-2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ADA-44CF-926B-6995413DCA2E}"/>
            </c:ext>
          </c:extLst>
        </c:ser>
        <c:ser>
          <c:idx val="0"/>
          <c:order val="2"/>
          <c:tx>
            <c:v>cuota</c:v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AADA-44CF-926B-6995413DCA2E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AADA-44CF-926B-6995413DCA2E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AADA-44CF-926B-6995413DCA2E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AADA-44CF-926B-6995413DCA2E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AADA-44CF-926B-6995413DCA2E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AADA-44CF-926B-6995413DCA2E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AADA-44CF-926B-6995413DCA2E}"/>
              </c:ext>
            </c:extLst>
          </c:dPt>
          <c:cat>
            <c:strRef>
              <c:f>'viaj alojados lugar residen acu'!$O$9:$O$21</c:f>
              <c:strCache>
                <c:ptCount val="13"/>
                <c:pt idx="0">
                  <c:v>Total lugares de residencia</c:v>
                </c:pt>
                <c:pt idx="1">
                  <c:v>Total residentes en España</c:v>
                </c:pt>
                <c:pt idx="2">
                  <c:v>Canarias</c:v>
                </c:pt>
                <c:pt idx="3">
                  <c:v>Península</c:v>
                </c:pt>
                <c:pt idx="4">
                  <c:v>Total residentes en el extranjero</c:v>
                </c:pt>
                <c:pt idx="5">
                  <c:v>Reino Unido</c:v>
                </c:pt>
                <c:pt idx="6">
                  <c:v>Alemania</c:v>
                </c:pt>
                <c:pt idx="7">
                  <c:v>Francia</c:v>
                </c:pt>
                <c:pt idx="8">
                  <c:v>Países Bajos</c:v>
                </c:pt>
                <c:pt idx="9">
                  <c:v>Bélgica</c:v>
                </c:pt>
                <c:pt idx="10">
                  <c:v>Dinamarca</c:v>
                </c:pt>
                <c:pt idx="11">
                  <c:v>Suecia</c:v>
                </c:pt>
                <c:pt idx="12">
                  <c:v>Otros países</c:v>
                </c:pt>
              </c:strCache>
            </c:strRef>
          </c:cat>
          <c:val>
            <c:numRef>
              <c:f>'viaj alojados lugar residen acu'!$X$9:$X$21</c:f>
              <c:numCache>
                <c:formatCode>0.0%</c:formatCode>
                <c:ptCount val="13"/>
                <c:pt idx="0">
                  <c:v>1</c:v>
                </c:pt>
                <c:pt idx="1">
                  <c:v>0.61705661713149851</c:v>
                </c:pt>
                <c:pt idx="2">
                  <c:v>0.30793946861449023</c:v>
                </c:pt>
                <c:pt idx="3">
                  <c:v>0.30911714851700828</c:v>
                </c:pt>
                <c:pt idx="4">
                  <c:v>0.38294338286850149</c:v>
                </c:pt>
                <c:pt idx="5">
                  <c:v>4.0088768473577084E-2</c:v>
                </c:pt>
                <c:pt idx="6">
                  <c:v>5.8557240008441175E-2</c:v>
                </c:pt>
                <c:pt idx="7">
                  <c:v>3.0796669820761204E-2</c:v>
                </c:pt>
                <c:pt idx="8">
                  <c:v>9.5439723891925753E-3</c:v>
                </c:pt>
                <c:pt idx="9">
                  <c:v>8.1212261485782752E-3</c:v>
                </c:pt>
                <c:pt idx="10">
                  <c:v>4.9966303378511769E-3</c:v>
                </c:pt>
                <c:pt idx="11">
                  <c:v>9.4758984063880621E-3</c:v>
                </c:pt>
                <c:pt idx="12">
                  <c:v>0.22136297728371193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A-AADA-44CF-926B-6995413DC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dTable>
        <c:showHorzBorder val="1"/>
        <c:showVertBorder val="1"/>
        <c:showOutline val="1"/>
        <c:showKeys val="1"/>
        <c:txPr>
          <a:bodyPr/>
          <a:lstStyle/>
          <a:p>
            <a:pPr rtl="0">
              <a:defRPr>
                <a:solidFill>
                  <a:schemeClr val="tx1">
                    <a:lumMod val="75000"/>
                  </a:schemeClr>
                </a:solidFill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2640072965383577"/>
          <c:y val="8.3648622634156414E-2"/>
          <c:w val="0.4535126232430115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236-4222-9712-AA85C58016B9}"/>
              </c:ext>
            </c:extLst>
          </c:dPt>
          <c:val>
            <c:numRef>
              <c:f>'Pernoctaciones evol mensu TF'!$I$9:$I$21</c:f>
              <c:numCache>
                <c:formatCode>#,##0</c:formatCode>
                <c:ptCount val="13"/>
                <c:pt idx="0">
                  <c:v>59578</c:v>
                </c:pt>
                <c:pt idx="1">
                  <c:v>52194</c:v>
                </c:pt>
                <c:pt idx="2">
                  <c:v>58354</c:v>
                </c:pt>
                <c:pt idx="3">
                  <c:v>42717</c:v>
                </c:pt>
                <c:pt idx="4">
                  <c:v>42611</c:v>
                </c:pt>
                <c:pt idx="5">
                  <c:v>38639</c:v>
                </c:pt>
                <c:pt idx="6">
                  <c:v>40407</c:v>
                </c:pt>
                <c:pt idx="7">
                  <c:v>43373</c:v>
                </c:pt>
                <c:pt idx="8">
                  <c:v>40151</c:v>
                </c:pt>
                <c:pt idx="9">
                  <c:v>49321</c:v>
                </c:pt>
                <c:pt idx="10">
                  <c:v>55991</c:v>
                </c:pt>
                <c:pt idx="11">
                  <c:v>53126</c:v>
                </c:pt>
                <c:pt idx="12">
                  <c:v>576462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36-4222-9712-AA85C58016B9}"/>
            </c:ext>
          </c:extLst>
        </c:ser>
        <c:ser>
          <c:idx val="0"/>
          <c:order val="2"/>
          <c:tx>
            <c:strRef>
              <c:f>'Pernoctaciones evol mensu TF'!$K$7:$L$7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236-4222-9712-AA85C58016B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TF'!$K$9:$K$21</c:f>
              <c:numCache>
                <c:formatCode>#,##0</c:formatCode>
                <c:ptCount val="13"/>
                <c:pt idx="0">
                  <c:v>62651</c:v>
                </c:pt>
                <c:pt idx="1">
                  <c:v>55957</c:v>
                </c:pt>
                <c:pt idx="2">
                  <c:v>58643</c:v>
                </c:pt>
                <c:pt idx="3">
                  <c:v>46133</c:v>
                </c:pt>
                <c:pt idx="4">
                  <c:v>38316</c:v>
                </c:pt>
                <c:pt idx="5">
                  <c:v>40074</c:v>
                </c:pt>
                <c:pt idx="6">
                  <c:v>45242</c:v>
                </c:pt>
                <c:pt idx="7">
                  <c:v>42595</c:v>
                </c:pt>
                <c:pt idx="8">
                  <c:v>43154</c:v>
                </c:pt>
                <c:pt idx="9">
                  <c:v>43124</c:v>
                </c:pt>
                <c:pt idx="10">
                  <c:v>53169</c:v>
                </c:pt>
                <c:pt idx="11">
                  <c:v>55215</c:v>
                </c:pt>
                <c:pt idx="12">
                  <c:v>584273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236-4222-9712-AA85C58016B9}"/>
            </c:ext>
          </c:extLst>
        </c:ser>
        <c:ser>
          <c:idx val="1"/>
          <c:order val="3"/>
          <c:tx>
            <c:strRef>
              <c:f>'Pernoctaciones evol mensu TF'!$M$7:$N$7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236-4222-9712-AA85C58016B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236-4222-9712-AA85C58016B9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TF'!$M$9:$M$21</c:f>
              <c:numCache>
                <c:formatCode>#,##0</c:formatCode>
                <c:ptCount val="13"/>
                <c:pt idx="0">
                  <c:v>57077</c:v>
                </c:pt>
                <c:pt idx="1">
                  <c:v>52638</c:v>
                </c:pt>
                <c:pt idx="2">
                  <c:v>56752</c:v>
                </c:pt>
                <c:pt idx="3">
                  <c:v>47123</c:v>
                </c:pt>
                <c:pt idx="4">
                  <c:v>45582</c:v>
                </c:pt>
                <c:pt idx="5">
                  <c:v>42497</c:v>
                </c:pt>
                <c:pt idx="12">
                  <c:v>301669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236-4222-9712-AA85C5801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236-4222-9712-AA85C58016B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46163</c:v>
                      </c:pt>
                      <c:pt idx="1">
                        <c:v>51846</c:v>
                      </c:pt>
                      <c:pt idx="2">
                        <c:v>20252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15225</c:v>
                      </c:pt>
                      <c:pt idx="8">
                        <c:v>14501</c:v>
                      </c:pt>
                      <c:pt idx="9">
                        <c:v>17308</c:v>
                      </c:pt>
                      <c:pt idx="10">
                        <c:v>14807</c:v>
                      </c:pt>
                      <c:pt idx="11">
                        <c:v>13546</c:v>
                      </c:pt>
                      <c:pt idx="12">
                        <c:v>216673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236-4222-9712-AA85C58016B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236-4222-9712-AA85C58016B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36-4222-9712-AA85C58016B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36-4222-9712-AA85C58016B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36-4222-9712-AA85C58016B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36-4222-9712-AA85C58016B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36-4222-9712-AA85C58016B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36-4222-9712-AA85C58016B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36-4222-9712-AA85C58016B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36-4222-9712-AA85C58016B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36-4222-9712-AA85C58016B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36-4222-9712-AA85C58016B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36-4222-9712-AA85C58016B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36-4222-9712-AA85C58016B9}"/>
              </c:ext>
            </c:extLst>
          </c:dPt>
          <c:cat>
            <c:strRef>
              <c:f>'Pernoctaciones evol mensu TF'!$B$9:$B$20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TF'!$N$9:$N$21</c:f>
              <c:numCache>
                <c:formatCode>0.0%</c:formatCode>
                <c:ptCount val="13"/>
                <c:pt idx="0">
                  <c:v>-8.8969050773331615E-2</c:v>
                </c:pt>
                <c:pt idx="1">
                  <c:v>-5.9313401361759888E-2</c:v>
                </c:pt>
                <c:pt idx="2">
                  <c:v>-3.2245962860017352E-2</c:v>
                </c:pt>
                <c:pt idx="3">
                  <c:v>2.1459692627836979E-2</c:v>
                </c:pt>
                <c:pt idx="4">
                  <c:v>0.18963357344190412</c:v>
                </c:pt>
                <c:pt idx="5">
                  <c:v>6.0463143185107482E-2</c:v>
                </c:pt>
                <c:pt idx="12">
                  <c:v>-3.4794250001657367E-4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236-4222-9712-AA85C58016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2DC-4A5B-AD8C-6758A092F935}"/>
              </c:ext>
            </c:extLst>
          </c:dPt>
          <c:val>
            <c:numRef>
              <c:f>'Pernoctaciones evol mensu TF'!$I$31:$I$43</c:f>
              <c:numCache>
                <c:formatCode>#,##0</c:formatCode>
                <c:ptCount val="13"/>
                <c:pt idx="0">
                  <c:v>21636</c:v>
                </c:pt>
                <c:pt idx="1">
                  <c:v>23651</c:v>
                </c:pt>
                <c:pt idx="2">
                  <c:v>30146</c:v>
                </c:pt>
                <c:pt idx="3">
                  <c:v>25115</c:v>
                </c:pt>
                <c:pt idx="4">
                  <c:v>28209</c:v>
                </c:pt>
                <c:pt idx="5">
                  <c:v>25871</c:v>
                </c:pt>
                <c:pt idx="6">
                  <c:v>25078</c:v>
                </c:pt>
                <c:pt idx="7">
                  <c:v>22168</c:v>
                </c:pt>
                <c:pt idx="8">
                  <c:v>23087</c:v>
                </c:pt>
                <c:pt idx="9">
                  <c:v>28464</c:v>
                </c:pt>
                <c:pt idx="10">
                  <c:v>26745</c:v>
                </c:pt>
                <c:pt idx="11">
                  <c:v>22180</c:v>
                </c:pt>
                <c:pt idx="12">
                  <c:v>302350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DC-4A5B-AD8C-6758A092F935}"/>
            </c:ext>
          </c:extLst>
        </c:ser>
        <c:ser>
          <c:idx val="0"/>
          <c:order val="2"/>
          <c:tx>
            <c:strRef>
              <c:f>'Pernoctaciones evol mensu TF'!$K$29:$L$29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2DC-4A5B-AD8C-6758A092F93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TF'!$K$31:$K$43</c:f>
              <c:numCache>
                <c:formatCode>#,##0</c:formatCode>
                <c:ptCount val="13"/>
                <c:pt idx="0">
                  <c:v>25181</c:v>
                </c:pt>
                <c:pt idx="1">
                  <c:v>24442</c:v>
                </c:pt>
                <c:pt idx="2">
                  <c:v>25658</c:v>
                </c:pt>
                <c:pt idx="3">
                  <c:v>22776</c:v>
                </c:pt>
                <c:pt idx="4">
                  <c:v>24741</c:v>
                </c:pt>
                <c:pt idx="5">
                  <c:v>28215</c:v>
                </c:pt>
                <c:pt idx="6">
                  <c:v>30089</c:v>
                </c:pt>
                <c:pt idx="7">
                  <c:v>21698</c:v>
                </c:pt>
                <c:pt idx="8">
                  <c:v>27092</c:v>
                </c:pt>
                <c:pt idx="9">
                  <c:v>24346</c:v>
                </c:pt>
                <c:pt idx="10">
                  <c:v>29114</c:v>
                </c:pt>
                <c:pt idx="11">
                  <c:v>25047</c:v>
                </c:pt>
                <c:pt idx="12">
                  <c:v>308399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2DC-4A5B-AD8C-6758A092F935}"/>
            </c:ext>
          </c:extLst>
        </c:ser>
        <c:ser>
          <c:idx val="1"/>
          <c:order val="3"/>
          <c:tx>
            <c:strRef>
              <c:f>'Pernoctaciones evol mensu TF'!$M$29:$N$29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2DC-4A5B-AD8C-6758A092F93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2DC-4A5B-AD8C-6758A092F935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TF'!$M$31:$M$43</c:f>
              <c:numCache>
                <c:formatCode>#,##0</c:formatCode>
                <c:ptCount val="13"/>
                <c:pt idx="0">
                  <c:v>23120</c:v>
                </c:pt>
                <c:pt idx="1">
                  <c:v>23832</c:v>
                </c:pt>
                <c:pt idx="2">
                  <c:v>30942</c:v>
                </c:pt>
                <c:pt idx="3">
                  <c:v>26836</c:v>
                </c:pt>
                <c:pt idx="4">
                  <c:v>30811</c:v>
                </c:pt>
                <c:pt idx="5">
                  <c:v>31150</c:v>
                </c:pt>
                <c:pt idx="12">
                  <c:v>166691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2DC-4A5B-AD8C-6758A092F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2DC-4A5B-AD8C-6758A092F93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18094</c:v>
                      </c:pt>
                      <c:pt idx="1">
                        <c:v>23371</c:v>
                      </c:pt>
                      <c:pt idx="2">
                        <c:v>9500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9653</c:v>
                      </c:pt>
                      <c:pt idx="8">
                        <c:v>9944</c:v>
                      </c:pt>
                      <c:pt idx="9">
                        <c:v>12162</c:v>
                      </c:pt>
                      <c:pt idx="10">
                        <c:v>9442</c:v>
                      </c:pt>
                      <c:pt idx="11">
                        <c:v>7829</c:v>
                      </c:pt>
                      <c:pt idx="12">
                        <c:v>116562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2DC-4A5B-AD8C-6758A092F93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2DC-4A5B-AD8C-6758A092F93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2DC-4A5B-AD8C-6758A092F93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2DC-4A5B-AD8C-6758A092F93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2DC-4A5B-AD8C-6758A092F93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2DC-4A5B-AD8C-6758A092F93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DC-4A5B-AD8C-6758A092F93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DC-4A5B-AD8C-6758A092F93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DC-4A5B-AD8C-6758A092F93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DC-4A5B-AD8C-6758A092F93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DC-4A5B-AD8C-6758A092F93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DC-4A5B-AD8C-6758A092F93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DC-4A5B-AD8C-6758A092F93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DC-4A5B-AD8C-6758A092F935}"/>
              </c:ext>
            </c:extLst>
          </c:dPt>
          <c:cat>
            <c:strRef>
              <c:f>'Pernoctaciones evol mensu TF'!$B$31:$B$42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TF'!$N$31:$N$43</c:f>
              <c:numCache>
                <c:formatCode>0.0%</c:formatCode>
                <c:ptCount val="13"/>
                <c:pt idx="0">
                  <c:v>-8.1847424645566047E-2</c:v>
                </c:pt>
                <c:pt idx="1">
                  <c:v>-2.4957041158661375E-2</c:v>
                </c:pt>
                <c:pt idx="2">
                  <c:v>0.20593966793982377</c:v>
                </c:pt>
                <c:pt idx="3">
                  <c:v>0.17825781524411655</c:v>
                </c:pt>
                <c:pt idx="4">
                  <c:v>0.24534174043086376</c:v>
                </c:pt>
                <c:pt idx="5">
                  <c:v>0.10402268297005146</c:v>
                </c:pt>
                <c:pt idx="12">
                  <c:v>0.10381887652056454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2DC-4A5B-AD8C-6758A092F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D0C-488A-9083-267C45E85F20}"/>
              </c:ext>
            </c:extLst>
          </c:dPt>
          <c:val>
            <c:numRef>
              <c:f>'Pernoctaciones evol mensu TF'!$I$53:$I$65</c:f>
              <c:numCache>
                <c:formatCode>#,##0</c:formatCode>
                <c:ptCount val="13"/>
                <c:pt idx="0">
                  <c:v>11784</c:v>
                </c:pt>
                <c:pt idx="1">
                  <c:v>13893</c:v>
                </c:pt>
                <c:pt idx="2">
                  <c:v>18087</c:v>
                </c:pt>
                <c:pt idx="3">
                  <c:v>14354</c:v>
                </c:pt>
                <c:pt idx="4">
                  <c:v>16688</c:v>
                </c:pt>
                <c:pt idx="5">
                  <c:v>14668</c:v>
                </c:pt>
                <c:pt idx="6">
                  <c:v>16466</c:v>
                </c:pt>
                <c:pt idx="7">
                  <c:v>13548</c:v>
                </c:pt>
                <c:pt idx="8">
                  <c:v>15730</c:v>
                </c:pt>
                <c:pt idx="9">
                  <c:v>16623</c:v>
                </c:pt>
                <c:pt idx="10">
                  <c:v>17852</c:v>
                </c:pt>
                <c:pt idx="11">
                  <c:v>11703</c:v>
                </c:pt>
                <c:pt idx="12">
                  <c:v>181396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D0C-488A-9083-267C45E85F20}"/>
            </c:ext>
          </c:extLst>
        </c:ser>
        <c:ser>
          <c:idx val="0"/>
          <c:order val="2"/>
          <c:tx>
            <c:strRef>
              <c:f>'Pernoctaciones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D0C-488A-9083-267C45E85F2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TF'!$K$53:$K$65</c:f>
              <c:numCache>
                <c:formatCode>#,##0</c:formatCode>
                <c:ptCount val="13"/>
                <c:pt idx="0">
                  <c:v>14922</c:v>
                </c:pt>
                <c:pt idx="1">
                  <c:v>15680</c:v>
                </c:pt>
                <c:pt idx="2">
                  <c:v>14870</c:v>
                </c:pt>
                <c:pt idx="3">
                  <c:v>13713</c:v>
                </c:pt>
                <c:pt idx="4">
                  <c:v>14967</c:v>
                </c:pt>
                <c:pt idx="5">
                  <c:v>15572</c:v>
                </c:pt>
                <c:pt idx="6">
                  <c:v>13056</c:v>
                </c:pt>
                <c:pt idx="7">
                  <c:v>9705</c:v>
                </c:pt>
                <c:pt idx="8">
                  <c:v>13601</c:v>
                </c:pt>
                <c:pt idx="9">
                  <c:v>16019</c:v>
                </c:pt>
                <c:pt idx="10">
                  <c:v>19160</c:v>
                </c:pt>
                <c:pt idx="11">
                  <c:v>13225</c:v>
                </c:pt>
                <c:pt idx="12">
                  <c:v>174490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D0C-488A-9083-267C45E85F20}"/>
            </c:ext>
          </c:extLst>
        </c:ser>
        <c:ser>
          <c:idx val="1"/>
          <c:order val="3"/>
          <c:tx>
            <c:strRef>
              <c:f>'Pernoctaciones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D0C-488A-9083-267C45E85F2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D0C-488A-9083-267C45E85F20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TF'!$M$53:$M$65</c:f>
              <c:numCache>
                <c:formatCode>#,##0</c:formatCode>
                <c:ptCount val="13"/>
                <c:pt idx="0">
                  <c:v>14862</c:v>
                </c:pt>
                <c:pt idx="1">
                  <c:v>14169</c:v>
                </c:pt>
                <c:pt idx="2">
                  <c:v>17196</c:v>
                </c:pt>
                <c:pt idx="3">
                  <c:v>14757</c:v>
                </c:pt>
                <c:pt idx="4">
                  <c:v>15736</c:v>
                </c:pt>
                <c:pt idx="5">
                  <c:v>15923</c:v>
                </c:pt>
                <c:pt idx="12">
                  <c:v>92643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0C-488A-9083-267C45E85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D0C-488A-9083-267C45E85F2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9493</c:v>
                      </c:pt>
                      <c:pt idx="1">
                        <c:v>12705</c:v>
                      </c:pt>
                      <c:pt idx="2">
                        <c:v>5294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7712</c:v>
                      </c:pt>
                      <c:pt idx="8">
                        <c:v>7090</c:v>
                      </c:pt>
                      <c:pt idx="9">
                        <c:v>7680</c:v>
                      </c:pt>
                      <c:pt idx="10">
                        <c:v>5836</c:v>
                      </c:pt>
                      <c:pt idx="11">
                        <c:v>4463</c:v>
                      </c:pt>
                      <c:pt idx="12">
                        <c:v>71188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D0C-488A-9083-267C45E85F2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D0C-488A-9083-267C45E85F2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D0C-488A-9083-267C45E85F2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D0C-488A-9083-267C45E85F2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D0C-488A-9083-267C45E85F2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D0C-488A-9083-267C45E85F2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D0C-488A-9083-267C45E85F2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D0C-488A-9083-267C45E85F2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D0C-488A-9083-267C45E85F2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D0C-488A-9083-267C45E85F2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D0C-488A-9083-267C45E85F2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D0C-488A-9083-267C45E85F2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D0C-488A-9083-267C45E85F2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D0C-488A-9083-267C45E85F20}"/>
              </c:ext>
            </c:extLst>
          </c:dPt>
          <c:cat>
            <c:strRef>
              <c:f>'Pernoctaciones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TF'!$N$53:$N$65</c:f>
              <c:numCache>
                <c:formatCode>0.0%</c:formatCode>
                <c:ptCount val="13"/>
                <c:pt idx="0">
                  <c:v>-4.0209087253719744E-3</c:v>
                </c:pt>
                <c:pt idx="1">
                  <c:v>-9.636479591836733E-2</c:v>
                </c:pt>
                <c:pt idx="2">
                  <c:v>0.15642232683254886</c:v>
                </c:pt>
                <c:pt idx="3">
                  <c:v>7.613213738788005E-2</c:v>
                </c:pt>
                <c:pt idx="4">
                  <c:v>5.13797020110911E-2</c:v>
                </c:pt>
                <c:pt idx="5">
                  <c:v>2.2540457230927347E-2</c:v>
                </c:pt>
                <c:pt idx="12">
                  <c:v>3.2533101511301288E-2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D0C-488A-9083-267C45E85F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F3D-42DD-B0FF-8B671ED55543}"/>
              </c:ext>
            </c:extLst>
          </c:dPt>
          <c:val>
            <c:numRef>
              <c:f>'Viajeros entr evol mensu TF'!$I$53:$I$65</c:f>
              <c:numCache>
                <c:formatCode>#,##0</c:formatCode>
                <c:ptCount val="13"/>
                <c:pt idx="0">
                  <c:v>5450</c:v>
                </c:pt>
                <c:pt idx="1">
                  <c:v>6445</c:v>
                </c:pt>
                <c:pt idx="2">
                  <c:v>8798</c:v>
                </c:pt>
                <c:pt idx="3">
                  <c:v>6595</c:v>
                </c:pt>
                <c:pt idx="4">
                  <c:v>6899</c:v>
                </c:pt>
                <c:pt idx="5">
                  <c:v>6717</c:v>
                </c:pt>
                <c:pt idx="6">
                  <c:v>7240</c:v>
                </c:pt>
                <c:pt idx="7">
                  <c:v>4888</c:v>
                </c:pt>
                <c:pt idx="8">
                  <c:v>6477</c:v>
                </c:pt>
                <c:pt idx="9">
                  <c:v>7061</c:v>
                </c:pt>
                <c:pt idx="10">
                  <c:v>8507</c:v>
                </c:pt>
                <c:pt idx="11">
                  <c:v>5232</c:v>
                </c:pt>
                <c:pt idx="12">
                  <c:v>80309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3D-42DD-B0FF-8B671ED55543}"/>
            </c:ext>
          </c:extLst>
        </c:ser>
        <c:ser>
          <c:idx val="0"/>
          <c:order val="2"/>
          <c:tx>
            <c:strRef>
              <c:f>'Viajeros entr evol mensu TF'!$K$51:$L$51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F3D-42DD-B0FF-8B671ED5554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TF'!$K$53:$K$65</c:f>
              <c:numCache>
                <c:formatCode>#,##0</c:formatCode>
                <c:ptCount val="13"/>
                <c:pt idx="0">
                  <c:v>6504</c:v>
                </c:pt>
                <c:pt idx="1">
                  <c:v>6868</c:v>
                </c:pt>
                <c:pt idx="2">
                  <c:v>6861</c:v>
                </c:pt>
                <c:pt idx="3">
                  <c:v>7072</c:v>
                </c:pt>
                <c:pt idx="4">
                  <c:v>6981</c:v>
                </c:pt>
                <c:pt idx="5">
                  <c:v>7542</c:v>
                </c:pt>
                <c:pt idx="6">
                  <c:v>6419</c:v>
                </c:pt>
                <c:pt idx="7">
                  <c:v>3964</c:v>
                </c:pt>
                <c:pt idx="8">
                  <c:v>6205</c:v>
                </c:pt>
                <c:pt idx="9">
                  <c:v>7713</c:v>
                </c:pt>
                <c:pt idx="10">
                  <c:v>8717</c:v>
                </c:pt>
                <c:pt idx="11">
                  <c:v>5927</c:v>
                </c:pt>
                <c:pt idx="12">
                  <c:v>80773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F3D-42DD-B0FF-8B671ED55543}"/>
            </c:ext>
          </c:extLst>
        </c:ser>
        <c:ser>
          <c:idx val="1"/>
          <c:order val="3"/>
          <c:tx>
            <c:strRef>
              <c:f>'Viajeros entr evol mensu TF'!$M$51:$N$51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F3D-42DD-B0FF-8B671ED5554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F3D-42DD-B0FF-8B671ED55543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TF'!$M$53:$M$65</c:f>
              <c:numCache>
                <c:formatCode>#,##0</c:formatCode>
                <c:ptCount val="13"/>
                <c:pt idx="0">
                  <c:v>7025</c:v>
                </c:pt>
                <c:pt idx="1">
                  <c:v>7367</c:v>
                </c:pt>
                <c:pt idx="2">
                  <c:v>7666</c:v>
                </c:pt>
                <c:pt idx="3">
                  <c:v>6138</c:v>
                </c:pt>
                <c:pt idx="4">
                  <c:v>7712</c:v>
                </c:pt>
                <c:pt idx="5">
                  <c:v>7773</c:v>
                </c:pt>
                <c:pt idx="12">
                  <c:v>43681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F3D-42DD-B0FF-8B671ED55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F3D-42DD-B0FF-8B671ED5554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4747</c:v>
                      </c:pt>
                      <c:pt idx="1">
                        <c:v>5951</c:v>
                      </c:pt>
                      <c:pt idx="2">
                        <c:v>2527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2986</c:v>
                      </c:pt>
                      <c:pt idx="8">
                        <c:v>3428</c:v>
                      </c:pt>
                      <c:pt idx="9">
                        <c:v>3924</c:v>
                      </c:pt>
                      <c:pt idx="10">
                        <c:v>3089</c:v>
                      </c:pt>
                      <c:pt idx="11">
                        <c:v>2151</c:v>
                      </c:pt>
                      <c:pt idx="12">
                        <c:v>33780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F3D-42DD-B0FF-8B671ED5554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F3D-42DD-B0FF-8B671ED5554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3D-42DD-B0FF-8B671ED5554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3D-42DD-B0FF-8B671ED5554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3D-42DD-B0FF-8B671ED5554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3D-42DD-B0FF-8B671ED5554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3D-42DD-B0FF-8B671ED5554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3D-42DD-B0FF-8B671ED5554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3D-42DD-B0FF-8B671ED5554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3D-42DD-B0FF-8B671ED5554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3D-42DD-B0FF-8B671ED5554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3D-42DD-B0FF-8B671ED5554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3D-42DD-B0FF-8B671ED5554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3D-42DD-B0FF-8B671ED55543}"/>
              </c:ext>
            </c:extLst>
          </c:dPt>
          <c:cat>
            <c:strRef>
              <c:f>'Viajeros entr evol mensu TF'!$B$53:$B$64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TF'!$N$53:$N$65</c:f>
              <c:numCache>
                <c:formatCode>0.0%</c:formatCode>
                <c:ptCount val="13"/>
                <c:pt idx="0">
                  <c:v>8.0104551045510508E-2</c:v>
                </c:pt>
                <c:pt idx="1">
                  <c:v>7.2655794991263845E-2</c:v>
                </c:pt>
                <c:pt idx="2">
                  <c:v>0.11732983530097663</c:v>
                </c:pt>
                <c:pt idx="3">
                  <c:v>-0.13207013574660631</c:v>
                </c:pt>
                <c:pt idx="4">
                  <c:v>0.10471279186362992</c:v>
                </c:pt>
                <c:pt idx="5">
                  <c:v>3.0628480509148792E-2</c:v>
                </c:pt>
                <c:pt idx="12">
                  <c:v>4.4300468585636521E-2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F3D-42DD-B0FF-8B671ED55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94E-46C7-814C-39219E89EB8D}"/>
              </c:ext>
            </c:extLst>
          </c:dPt>
          <c:val>
            <c:numRef>
              <c:f>'Pernoctaciones evol mensu TF'!$I$75:$I$87</c:f>
              <c:numCache>
                <c:formatCode>#,##0</c:formatCode>
                <c:ptCount val="13"/>
                <c:pt idx="0">
                  <c:v>9852</c:v>
                </c:pt>
                <c:pt idx="1">
                  <c:v>9758</c:v>
                </c:pt>
                <c:pt idx="2">
                  <c:v>12059</c:v>
                </c:pt>
                <c:pt idx="3">
                  <c:v>10761</c:v>
                </c:pt>
                <c:pt idx="4">
                  <c:v>11521</c:v>
                </c:pt>
                <c:pt idx="5">
                  <c:v>11203</c:v>
                </c:pt>
                <c:pt idx="6">
                  <c:v>8612</c:v>
                </c:pt>
                <c:pt idx="7">
                  <c:v>8620</c:v>
                </c:pt>
                <c:pt idx="8">
                  <c:v>7357</c:v>
                </c:pt>
                <c:pt idx="9">
                  <c:v>11841</c:v>
                </c:pt>
                <c:pt idx="10">
                  <c:v>8893</c:v>
                </c:pt>
                <c:pt idx="11">
                  <c:v>10477</c:v>
                </c:pt>
                <c:pt idx="12">
                  <c:v>120954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4E-46C7-814C-39219E89EB8D}"/>
            </c:ext>
          </c:extLst>
        </c:ser>
        <c:ser>
          <c:idx val="0"/>
          <c:order val="2"/>
          <c:tx>
            <c:strRef>
              <c:f>'Pernoctaciones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94E-46C7-814C-39219E89EB8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TF'!$K$75:$K$87</c:f>
              <c:numCache>
                <c:formatCode>#,##0</c:formatCode>
                <c:ptCount val="13"/>
                <c:pt idx="0">
                  <c:v>10259</c:v>
                </c:pt>
                <c:pt idx="1">
                  <c:v>8762</c:v>
                </c:pt>
                <c:pt idx="2">
                  <c:v>10788</c:v>
                </c:pt>
                <c:pt idx="3">
                  <c:v>9063</c:v>
                </c:pt>
                <c:pt idx="4">
                  <c:v>9774</c:v>
                </c:pt>
                <c:pt idx="5">
                  <c:v>12643</c:v>
                </c:pt>
                <c:pt idx="6">
                  <c:v>17033</c:v>
                </c:pt>
                <c:pt idx="7">
                  <c:v>11993</c:v>
                </c:pt>
                <c:pt idx="8">
                  <c:v>13491</c:v>
                </c:pt>
                <c:pt idx="9">
                  <c:v>8327</c:v>
                </c:pt>
                <c:pt idx="10">
                  <c:v>9954</c:v>
                </c:pt>
                <c:pt idx="11">
                  <c:v>11822</c:v>
                </c:pt>
                <c:pt idx="12">
                  <c:v>133909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94E-46C7-814C-39219E89EB8D}"/>
            </c:ext>
          </c:extLst>
        </c:ser>
        <c:ser>
          <c:idx val="1"/>
          <c:order val="3"/>
          <c:tx>
            <c:strRef>
              <c:f>'Pernoctaciones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94E-46C7-814C-39219E89EB8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94E-46C7-814C-39219E89EB8D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TF'!$M$75:$M$87</c:f>
              <c:numCache>
                <c:formatCode>#,##0</c:formatCode>
                <c:ptCount val="13"/>
                <c:pt idx="0">
                  <c:v>8258</c:v>
                </c:pt>
                <c:pt idx="1">
                  <c:v>9663</c:v>
                </c:pt>
                <c:pt idx="2">
                  <c:v>13746</c:v>
                </c:pt>
                <c:pt idx="3">
                  <c:v>12079</c:v>
                </c:pt>
                <c:pt idx="4">
                  <c:v>15075</c:v>
                </c:pt>
                <c:pt idx="5">
                  <c:v>15227</c:v>
                </c:pt>
                <c:pt idx="12">
                  <c:v>74048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94E-46C7-814C-39219E89E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94E-46C7-814C-39219E89EB8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8601</c:v>
                      </c:pt>
                      <c:pt idx="1">
                        <c:v>10666</c:v>
                      </c:pt>
                      <c:pt idx="2">
                        <c:v>4206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1941</c:v>
                      </c:pt>
                      <c:pt idx="8">
                        <c:v>2854</c:v>
                      </c:pt>
                      <c:pt idx="9">
                        <c:v>4482</c:v>
                      </c:pt>
                      <c:pt idx="10">
                        <c:v>3606</c:v>
                      </c:pt>
                      <c:pt idx="11">
                        <c:v>3366</c:v>
                      </c:pt>
                      <c:pt idx="12">
                        <c:v>45374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94E-46C7-814C-39219E89EB8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94E-46C7-814C-39219E89EB8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94E-46C7-814C-39219E89EB8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4E-46C7-814C-39219E89EB8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4E-46C7-814C-39219E89EB8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4E-46C7-814C-39219E89EB8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4E-46C7-814C-39219E89EB8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4E-46C7-814C-39219E89EB8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4E-46C7-814C-39219E89EB8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4E-46C7-814C-39219E89EB8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4E-46C7-814C-39219E89EB8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4E-46C7-814C-39219E89EB8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4E-46C7-814C-39219E89EB8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94E-46C7-814C-39219E89EB8D}"/>
              </c:ext>
            </c:extLst>
          </c:dPt>
          <c:cat>
            <c:strRef>
              <c:f>'Pernoctaciones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TF'!$N$75:$N$87</c:f>
              <c:numCache>
                <c:formatCode>0.0%</c:formatCode>
                <c:ptCount val="13"/>
                <c:pt idx="0">
                  <c:v>-0.19504825031679496</c:v>
                </c:pt>
                <c:pt idx="1">
                  <c:v>0.10283040401734755</c:v>
                </c:pt>
                <c:pt idx="2">
                  <c:v>0.27419354838709675</c:v>
                </c:pt>
                <c:pt idx="3">
                  <c:v>0.33278163963367535</c:v>
                </c:pt>
                <c:pt idx="4">
                  <c:v>0.5423572744014733</c:v>
                </c:pt>
                <c:pt idx="5">
                  <c:v>0.20438187139128372</c:v>
                </c:pt>
                <c:pt idx="12">
                  <c:v>0.20817765014929268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94E-46C7-814C-39219E89EB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9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193-4628-AD17-78F4BCFFC82E}"/>
              </c:ext>
            </c:extLst>
          </c:dPt>
          <c:val>
            <c:numRef>
              <c:f>'Pernoctaciones evol mensu TF'!$I$97:$I$109</c:f>
              <c:numCache>
                <c:formatCode>#,##0</c:formatCode>
                <c:ptCount val="13"/>
                <c:pt idx="0">
                  <c:v>37942</c:v>
                </c:pt>
                <c:pt idx="1">
                  <c:v>28543</c:v>
                </c:pt>
                <c:pt idx="2">
                  <c:v>28208</c:v>
                </c:pt>
                <c:pt idx="3">
                  <c:v>17602</c:v>
                </c:pt>
                <c:pt idx="4">
                  <c:v>14402</c:v>
                </c:pt>
                <c:pt idx="5">
                  <c:v>12768</c:v>
                </c:pt>
                <c:pt idx="6">
                  <c:v>15329</c:v>
                </c:pt>
                <c:pt idx="7">
                  <c:v>21205</c:v>
                </c:pt>
                <c:pt idx="8">
                  <c:v>17064</c:v>
                </c:pt>
                <c:pt idx="9">
                  <c:v>20857</c:v>
                </c:pt>
                <c:pt idx="10">
                  <c:v>29246</c:v>
                </c:pt>
                <c:pt idx="11">
                  <c:v>30946</c:v>
                </c:pt>
                <c:pt idx="12">
                  <c:v>274112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93-4628-AD17-78F4BCFFC82E}"/>
            </c:ext>
          </c:extLst>
        </c:ser>
        <c:ser>
          <c:idx val="0"/>
          <c:order val="2"/>
          <c:tx>
            <c:strRef>
              <c:f>'Pernoctaciones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193-4628-AD17-78F4BCFFC82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TF'!$K$97:$K$109</c:f>
              <c:numCache>
                <c:formatCode>#,##0</c:formatCode>
                <c:ptCount val="13"/>
                <c:pt idx="0">
                  <c:v>37470</c:v>
                </c:pt>
                <c:pt idx="1">
                  <c:v>31515</c:v>
                </c:pt>
                <c:pt idx="2">
                  <c:v>32985</c:v>
                </c:pt>
                <c:pt idx="3">
                  <c:v>23357</c:v>
                </c:pt>
                <c:pt idx="4">
                  <c:v>13575</c:v>
                </c:pt>
                <c:pt idx="5">
                  <c:v>11859</c:v>
                </c:pt>
                <c:pt idx="6">
                  <c:v>15153</c:v>
                </c:pt>
                <c:pt idx="7">
                  <c:v>20897</c:v>
                </c:pt>
                <c:pt idx="8">
                  <c:v>16062</c:v>
                </c:pt>
                <c:pt idx="9">
                  <c:v>18778</c:v>
                </c:pt>
                <c:pt idx="10">
                  <c:v>24055</c:v>
                </c:pt>
                <c:pt idx="11">
                  <c:v>30168</c:v>
                </c:pt>
                <c:pt idx="12">
                  <c:v>275874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193-4628-AD17-78F4BCFFC82E}"/>
            </c:ext>
          </c:extLst>
        </c:ser>
        <c:ser>
          <c:idx val="1"/>
          <c:order val="3"/>
          <c:tx>
            <c:strRef>
              <c:f>'Pernoctaciones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193-4628-AD17-78F4BCFFC82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193-4628-AD17-78F4BCFFC82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TF'!$M$97:$M$109</c:f>
              <c:numCache>
                <c:formatCode>#,##0</c:formatCode>
                <c:ptCount val="13"/>
                <c:pt idx="0">
                  <c:v>33957</c:v>
                </c:pt>
                <c:pt idx="1">
                  <c:v>28806</c:v>
                </c:pt>
                <c:pt idx="2">
                  <c:v>25810</c:v>
                </c:pt>
                <c:pt idx="3">
                  <c:v>20287</c:v>
                </c:pt>
                <c:pt idx="4">
                  <c:v>14771</c:v>
                </c:pt>
                <c:pt idx="5">
                  <c:v>11347</c:v>
                </c:pt>
                <c:pt idx="12">
                  <c:v>134978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193-4628-AD17-78F4BCFFC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193-4628-AD17-78F4BCFFC82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28069</c:v>
                      </c:pt>
                      <c:pt idx="1">
                        <c:v>28475</c:v>
                      </c:pt>
                      <c:pt idx="2">
                        <c:v>10752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5572</c:v>
                      </c:pt>
                      <c:pt idx="8">
                        <c:v>4557</c:v>
                      </c:pt>
                      <c:pt idx="9">
                        <c:v>5146</c:v>
                      </c:pt>
                      <c:pt idx="10">
                        <c:v>5365</c:v>
                      </c:pt>
                      <c:pt idx="11">
                        <c:v>5717</c:v>
                      </c:pt>
                      <c:pt idx="12">
                        <c:v>100111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193-4628-AD17-78F4BCFFC82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193-4628-AD17-78F4BCFFC82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193-4628-AD17-78F4BCFFC82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193-4628-AD17-78F4BCFFC82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193-4628-AD17-78F4BCFFC82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193-4628-AD17-78F4BCFFC82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193-4628-AD17-78F4BCFFC82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193-4628-AD17-78F4BCFFC82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193-4628-AD17-78F4BCFFC82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193-4628-AD17-78F4BCFFC82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193-4628-AD17-78F4BCFFC82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193-4628-AD17-78F4BCFFC82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193-4628-AD17-78F4BCFFC82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193-4628-AD17-78F4BCFFC82E}"/>
              </c:ext>
            </c:extLst>
          </c:dPt>
          <c:cat>
            <c:strRef>
              <c:f>'Pernoctaciones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TF'!$N$97:$N$109</c:f>
              <c:numCache>
                <c:formatCode>0.0%</c:formatCode>
                <c:ptCount val="13"/>
                <c:pt idx="0">
                  <c:v>-9.375500400320258E-2</c:v>
                </c:pt>
                <c:pt idx="1">
                  <c:v>-8.5959067110899623E-2</c:v>
                </c:pt>
                <c:pt idx="2">
                  <c:v>-0.21752311656813705</c:v>
                </c:pt>
                <c:pt idx="3">
                  <c:v>-0.13143811277133188</c:v>
                </c:pt>
                <c:pt idx="4">
                  <c:v>8.8103130755064374E-2</c:v>
                </c:pt>
                <c:pt idx="5">
                  <c:v>-4.3173960704949832E-2</c:v>
                </c:pt>
                <c:pt idx="12">
                  <c:v>-0.10468887842346497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193-4628-AD17-78F4BCFFC8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E8-4669-A3FE-2AB7C06431EF}"/>
              </c:ext>
            </c:extLst>
          </c:dPt>
          <c:val>
            <c:numRef>
              <c:f>'Pernoctaciones evol mensu TF'!$I$119:$I$131</c:f>
              <c:numCache>
                <c:formatCode>#,##0</c:formatCode>
                <c:ptCount val="13"/>
                <c:pt idx="0">
                  <c:v>5079</c:v>
                </c:pt>
                <c:pt idx="1">
                  <c:v>3403</c:v>
                </c:pt>
                <c:pt idx="2">
                  <c:v>3286</c:v>
                </c:pt>
                <c:pt idx="3">
                  <c:v>2023</c:v>
                </c:pt>
                <c:pt idx="4">
                  <c:v>1553</c:v>
                </c:pt>
                <c:pt idx="5">
                  <c:v>1777</c:v>
                </c:pt>
                <c:pt idx="6">
                  <c:v>1965</c:v>
                </c:pt>
                <c:pt idx="7">
                  <c:v>4366</c:v>
                </c:pt>
                <c:pt idx="8">
                  <c:v>4909</c:v>
                </c:pt>
                <c:pt idx="9">
                  <c:v>4936</c:v>
                </c:pt>
                <c:pt idx="10">
                  <c:v>3283</c:v>
                </c:pt>
                <c:pt idx="11">
                  <c:v>3687</c:v>
                </c:pt>
                <c:pt idx="12">
                  <c:v>40267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E8-4669-A3FE-2AB7C06431EF}"/>
            </c:ext>
          </c:extLst>
        </c:ser>
        <c:ser>
          <c:idx val="0"/>
          <c:order val="2"/>
          <c:tx>
            <c:strRef>
              <c:f>'Pernoctaciones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E8-4669-A3FE-2AB7C06431E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TF'!$K$119:$K$131</c:f>
              <c:numCache>
                <c:formatCode>#,##0</c:formatCode>
                <c:ptCount val="13"/>
                <c:pt idx="0">
                  <c:v>5741</c:v>
                </c:pt>
                <c:pt idx="1">
                  <c:v>4850</c:v>
                </c:pt>
                <c:pt idx="2">
                  <c:v>4425</c:v>
                </c:pt>
                <c:pt idx="3">
                  <c:v>3860</c:v>
                </c:pt>
                <c:pt idx="4">
                  <c:v>1323</c:v>
                </c:pt>
                <c:pt idx="5">
                  <c:v>1481</c:v>
                </c:pt>
                <c:pt idx="6">
                  <c:v>1886</c:v>
                </c:pt>
                <c:pt idx="7">
                  <c:v>2083</c:v>
                </c:pt>
                <c:pt idx="8">
                  <c:v>2363</c:v>
                </c:pt>
                <c:pt idx="9">
                  <c:v>1826</c:v>
                </c:pt>
                <c:pt idx="10">
                  <c:v>2998</c:v>
                </c:pt>
                <c:pt idx="11">
                  <c:v>3685</c:v>
                </c:pt>
                <c:pt idx="12">
                  <c:v>36521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E8-4669-A3FE-2AB7C06431EF}"/>
            </c:ext>
          </c:extLst>
        </c:ser>
        <c:ser>
          <c:idx val="1"/>
          <c:order val="3"/>
          <c:tx>
            <c:strRef>
              <c:f>'Pernoctaciones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E8-4669-A3FE-2AB7C06431E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F1E8-4669-A3FE-2AB7C06431E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TF'!$M$119:$M$131</c:f>
              <c:numCache>
                <c:formatCode>#,##0</c:formatCode>
                <c:ptCount val="13"/>
                <c:pt idx="0">
                  <c:v>5027</c:v>
                </c:pt>
                <c:pt idx="1">
                  <c:v>3993</c:v>
                </c:pt>
                <c:pt idx="2">
                  <c:v>2634</c:v>
                </c:pt>
                <c:pt idx="3">
                  <c:v>2256</c:v>
                </c:pt>
                <c:pt idx="4">
                  <c:v>1409</c:v>
                </c:pt>
                <c:pt idx="5">
                  <c:v>1064</c:v>
                </c:pt>
                <c:pt idx="12">
                  <c:v>16383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1E8-4669-A3FE-2AB7C0643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F1E8-4669-A3FE-2AB7C06431E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4037</c:v>
                      </c:pt>
                      <c:pt idx="1">
                        <c:v>3425</c:v>
                      </c:pt>
                      <c:pt idx="2">
                        <c:v>1454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231</c:v>
                      </c:pt>
                      <c:pt idx="8">
                        <c:v>271</c:v>
                      </c:pt>
                      <c:pt idx="9">
                        <c:v>273</c:v>
                      </c:pt>
                      <c:pt idx="10">
                        <c:v>586</c:v>
                      </c:pt>
                      <c:pt idx="11">
                        <c:v>669</c:v>
                      </c:pt>
                      <c:pt idx="12">
                        <c:v>11431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F1E8-4669-A3FE-2AB7C06431E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1E8-4669-A3FE-2AB7C06431E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1E8-4669-A3FE-2AB7C06431E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1E8-4669-A3FE-2AB7C06431E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E8-4669-A3FE-2AB7C06431E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E8-4669-A3FE-2AB7C06431E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E8-4669-A3FE-2AB7C06431E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E8-4669-A3FE-2AB7C06431E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E8-4669-A3FE-2AB7C06431E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E8-4669-A3FE-2AB7C06431E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E8-4669-A3FE-2AB7C06431E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E8-4669-A3FE-2AB7C06431E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E8-4669-A3FE-2AB7C06431E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E8-4669-A3FE-2AB7C06431EF}"/>
              </c:ext>
            </c:extLst>
          </c:dPt>
          <c:cat>
            <c:strRef>
              <c:f>'Pernoctaciones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TF'!$N$119:$N$131</c:f>
              <c:numCache>
                <c:formatCode>0.0%</c:formatCode>
                <c:ptCount val="13"/>
                <c:pt idx="0">
                  <c:v>-0.12436857690297853</c:v>
                </c:pt>
                <c:pt idx="1">
                  <c:v>-0.17670103092783507</c:v>
                </c:pt>
                <c:pt idx="2">
                  <c:v>-0.40474576271186435</c:v>
                </c:pt>
                <c:pt idx="3">
                  <c:v>-0.41554404145077717</c:v>
                </c:pt>
                <c:pt idx="4">
                  <c:v>6.5003779289493524E-2</c:v>
                </c:pt>
                <c:pt idx="5">
                  <c:v>-0.28156650911546255</c:v>
                </c:pt>
                <c:pt idx="12">
                  <c:v>-0.24432656826568266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1E8-4669-A3FE-2AB7C06431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8D-4C1A-AE7A-0D0B43EE8B0F}"/>
              </c:ext>
            </c:extLst>
          </c:dPt>
          <c:val>
            <c:numRef>
              <c:f>'Pernoctaciones evol mensu TF'!$I$141:$I$153</c:f>
              <c:numCache>
                <c:formatCode>#,##0</c:formatCode>
                <c:ptCount val="13"/>
                <c:pt idx="0">
                  <c:v>6542</c:v>
                </c:pt>
                <c:pt idx="1">
                  <c:v>4664</c:v>
                </c:pt>
                <c:pt idx="2">
                  <c:v>5403</c:v>
                </c:pt>
                <c:pt idx="3">
                  <c:v>3248</c:v>
                </c:pt>
                <c:pt idx="4">
                  <c:v>1617</c:v>
                </c:pt>
                <c:pt idx="5">
                  <c:v>1064</c:v>
                </c:pt>
                <c:pt idx="6">
                  <c:v>1913</c:v>
                </c:pt>
                <c:pt idx="7">
                  <c:v>2985</c:v>
                </c:pt>
                <c:pt idx="8">
                  <c:v>2184</c:v>
                </c:pt>
                <c:pt idx="9">
                  <c:v>3162</c:v>
                </c:pt>
                <c:pt idx="10">
                  <c:v>4616</c:v>
                </c:pt>
                <c:pt idx="11">
                  <c:v>6047</c:v>
                </c:pt>
                <c:pt idx="12">
                  <c:v>43445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8D-4C1A-AE7A-0D0B43EE8B0F}"/>
            </c:ext>
          </c:extLst>
        </c:ser>
        <c:ser>
          <c:idx val="0"/>
          <c:order val="2"/>
          <c:tx>
            <c:strRef>
              <c:f>'Pernoctaciones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8D-4C1A-AE7A-0D0B43EE8B0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TF'!$K$141:$K$153</c:f>
              <c:numCache>
                <c:formatCode>#,##0</c:formatCode>
                <c:ptCount val="13"/>
                <c:pt idx="0">
                  <c:v>6067</c:v>
                </c:pt>
                <c:pt idx="1">
                  <c:v>4561</c:v>
                </c:pt>
                <c:pt idx="2">
                  <c:v>5795</c:v>
                </c:pt>
                <c:pt idx="3">
                  <c:v>3013</c:v>
                </c:pt>
                <c:pt idx="4">
                  <c:v>1644</c:v>
                </c:pt>
                <c:pt idx="5">
                  <c:v>1312</c:v>
                </c:pt>
                <c:pt idx="6">
                  <c:v>1547</c:v>
                </c:pt>
                <c:pt idx="7">
                  <c:v>2860</c:v>
                </c:pt>
                <c:pt idx="8">
                  <c:v>2212</c:v>
                </c:pt>
                <c:pt idx="9">
                  <c:v>3189</c:v>
                </c:pt>
                <c:pt idx="10">
                  <c:v>4412</c:v>
                </c:pt>
                <c:pt idx="11">
                  <c:v>5549</c:v>
                </c:pt>
                <c:pt idx="12">
                  <c:v>42161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8D-4C1A-AE7A-0D0B43EE8B0F}"/>
            </c:ext>
          </c:extLst>
        </c:ser>
        <c:ser>
          <c:idx val="1"/>
          <c:order val="3"/>
          <c:tx>
            <c:strRef>
              <c:f>'Pernoctaciones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8D-4C1A-AE7A-0D0B43EE8B0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98D-4C1A-AE7A-0D0B43EE8B0F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TF'!$M$141:$M$153</c:f>
              <c:numCache>
                <c:formatCode>#,##0</c:formatCode>
                <c:ptCount val="13"/>
                <c:pt idx="0">
                  <c:v>6090</c:v>
                </c:pt>
                <c:pt idx="1">
                  <c:v>4794</c:v>
                </c:pt>
                <c:pt idx="2">
                  <c:v>4786</c:v>
                </c:pt>
                <c:pt idx="3">
                  <c:v>3430</c:v>
                </c:pt>
                <c:pt idx="4">
                  <c:v>1465</c:v>
                </c:pt>
                <c:pt idx="5">
                  <c:v>1070</c:v>
                </c:pt>
                <c:pt idx="12">
                  <c:v>21635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98D-4C1A-AE7A-0D0B43EE8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98D-4C1A-AE7A-0D0B43EE8B0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4131</c:v>
                      </c:pt>
                      <c:pt idx="1">
                        <c:v>3220</c:v>
                      </c:pt>
                      <c:pt idx="2">
                        <c:v>1575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423</c:v>
                      </c:pt>
                      <c:pt idx="8">
                        <c:v>265</c:v>
                      </c:pt>
                      <c:pt idx="9">
                        <c:v>260</c:v>
                      </c:pt>
                      <c:pt idx="10">
                        <c:v>688</c:v>
                      </c:pt>
                      <c:pt idx="11">
                        <c:v>611</c:v>
                      </c:pt>
                      <c:pt idx="12">
                        <c:v>11548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98D-4C1A-AE7A-0D0B43EE8B0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8D-4C1A-AE7A-0D0B43EE8B0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8D-4C1A-AE7A-0D0B43EE8B0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8D-4C1A-AE7A-0D0B43EE8B0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8D-4C1A-AE7A-0D0B43EE8B0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8D-4C1A-AE7A-0D0B43EE8B0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8D-4C1A-AE7A-0D0B43EE8B0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8D-4C1A-AE7A-0D0B43EE8B0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8D-4C1A-AE7A-0D0B43EE8B0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8D-4C1A-AE7A-0D0B43EE8B0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8D-4C1A-AE7A-0D0B43EE8B0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98D-4C1A-AE7A-0D0B43EE8B0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98D-4C1A-AE7A-0D0B43EE8B0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98D-4C1A-AE7A-0D0B43EE8B0F}"/>
              </c:ext>
            </c:extLst>
          </c:dPt>
          <c:cat>
            <c:strRef>
              <c:f>'Pernoctaciones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TF'!$N$141:$N$153</c:f>
              <c:numCache>
                <c:formatCode>0.0%</c:formatCode>
                <c:ptCount val="13"/>
                <c:pt idx="0">
                  <c:v>3.791000494478336E-3</c:v>
                </c:pt>
                <c:pt idx="1">
                  <c:v>5.1085288313966304E-2</c:v>
                </c:pt>
                <c:pt idx="2">
                  <c:v>-0.17411561691113031</c:v>
                </c:pt>
                <c:pt idx="3">
                  <c:v>0.13840026551609697</c:v>
                </c:pt>
                <c:pt idx="4">
                  <c:v>-0.10888077858880774</c:v>
                </c:pt>
                <c:pt idx="5">
                  <c:v>-0.18445121951219512</c:v>
                </c:pt>
                <c:pt idx="12">
                  <c:v>-3.3806716684530169E-2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98D-4C1A-AE7A-0D0B43EE8B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99F-43DE-A9E0-E1B7FD2E0FFE}"/>
              </c:ext>
            </c:extLst>
          </c:dPt>
          <c:val>
            <c:numRef>
              <c:f>'Pernoctaciones evol mensu TF'!$I$163:$I$175</c:f>
              <c:numCache>
                <c:formatCode>#,##0</c:formatCode>
                <c:ptCount val="13"/>
                <c:pt idx="0">
                  <c:v>3344</c:v>
                </c:pt>
                <c:pt idx="1">
                  <c:v>2356</c:v>
                </c:pt>
                <c:pt idx="2">
                  <c:v>2785</c:v>
                </c:pt>
                <c:pt idx="3">
                  <c:v>1759</c:v>
                </c:pt>
                <c:pt idx="4">
                  <c:v>2014</c:v>
                </c:pt>
                <c:pt idx="5">
                  <c:v>1678</c:v>
                </c:pt>
                <c:pt idx="6">
                  <c:v>1543</c:v>
                </c:pt>
                <c:pt idx="7">
                  <c:v>3093</c:v>
                </c:pt>
                <c:pt idx="8">
                  <c:v>1358</c:v>
                </c:pt>
                <c:pt idx="9">
                  <c:v>1685</c:v>
                </c:pt>
                <c:pt idx="10">
                  <c:v>2852</c:v>
                </c:pt>
                <c:pt idx="11">
                  <c:v>2270</c:v>
                </c:pt>
                <c:pt idx="12">
                  <c:v>26737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9F-43DE-A9E0-E1B7FD2E0FFE}"/>
            </c:ext>
          </c:extLst>
        </c:ser>
        <c:ser>
          <c:idx val="0"/>
          <c:order val="2"/>
          <c:tx>
            <c:strRef>
              <c:f>'Pernoctaciones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99F-43DE-A9E0-E1B7FD2E0FF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TF'!$K$163:$K$175</c:f>
              <c:numCache>
                <c:formatCode>#,##0</c:formatCode>
                <c:ptCount val="13"/>
                <c:pt idx="0">
                  <c:v>2895</c:v>
                </c:pt>
                <c:pt idx="1">
                  <c:v>2461</c:v>
                </c:pt>
                <c:pt idx="2">
                  <c:v>2820</c:v>
                </c:pt>
                <c:pt idx="3">
                  <c:v>1879</c:v>
                </c:pt>
                <c:pt idx="4">
                  <c:v>1952</c:v>
                </c:pt>
                <c:pt idx="5">
                  <c:v>905</c:v>
                </c:pt>
                <c:pt idx="6">
                  <c:v>1293</c:v>
                </c:pt>
                <c:pt idx="7">
                  <c:v>3962</c:v>
                </c:pt>
                <c:pt idx="8">
                  <c:v>2078</c:v>
                </c:pt>
                <c:pt idx="9">
                  <c:v>1740</c:v>
                </c:pt>
                <c:pt idx="10">
                  <c:v>2022</c:v>
                </c:pt>
                <c:pt idx="11">
                  <c:v>2368</c:v>
                </c:pt>
                <c:pt idx="12">
                  <c:v>26375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9F-43DE-A9E0-E1B7FD2E0FFE}"/>
            </c:ext>
          </c:extLst>
        </c:ser>
        <c:ser>
          <c:idx val="1"/>
          <c:order val="3"/>
          <c:tx>
            <c:strRef>
              <c:f>'Pernoctaciones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99F-43DE-A9E0-E1B7FD2E0FF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99F-43DE-A9E0-E1B7FD2E0FFE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TF'!$M$163:$M$175</c:f>
              <c:numCache>
                <c:formatCode>#,##0</c:formatCode>
                <c:ptCount val="13"/>
                <c:pt idx="0">
                  <c:v>2278</c:v>
                </c:pt>
                <c:pt idx="1">
                  <c:v>2576</c:v>
                </c:pt>
                <c:pt idx="2">
                  <c:v>1872</c:v>
                </c:pt>
                <c:pt idx="3">
                  <c:v>1696</c:v>
                </c:pt>
                <c:pt idx="4">
                  <c:v>1563</c:v>
                </c:pt>
                <c:pt idx="5">
                  <c:v>923</c:v>
                </c:pt>
                <c:pt idx="12">
                  <c:v>10908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99F-43DE-A9E0-E1B7FD2E0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99F-43DE-A9E0-E1B7FD2E0FF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1856</c:v>
                      </c:pt>
                      <c:pt idx="1">
                        <c:v>2151</c:v>
                      </c:pt>
                      <c:pt idx="2">
                        <c:v>911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432</c:v>
                      </c:pt>
                      <c:pt idx="8">
                        <c:v>212</c:v>
                      </c:pt>
                      <c:pt idx="9">
                        <c:v>349</c:v>
                      </c:pt>
                      <c:pt idx="10">
                        <c:v>204</c:v>
                      </c:pt>
                      <c:pt idx="11">
                        <c:v>597</c:v>
                      </c:pt>
                      <c:pt idx="12">
                        <c:v>7014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99F-43DE-A9E0-E1B7FD2E0FF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99F-43DE-A9E0-E1B7FD2E0FF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99F-43DE-A9E0-E1B7FD2E0FF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99F-43DE-A9E0-E1B7FD2E0FF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9F-43DE-A9E0-E1B7FD2E0FF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9F-43DE-A9E0-E1B7FD2E0FF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9F-43DE-A9E0-E1B7FD2E0FF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9F-43DE-A9E0-E1B7FD2E0FF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99F-43DE-A9E0-E1B7FD2E0FF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99F-43DE-A9E0-E1B7FD2E0FF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99F-43DE-A9E0-E1B7FD2E0FF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99F-43DE-A9E0-E1B7FD2E0FF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99F-43DE-A9E0-E1B7FD2E0FF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99F-43DE-A9E0-E1B7FD2E0FFE}"/>
              </c:ext>
            </c:extLst>
          </c:dPt>
          <c:cat>
            <c:strRef>
              <c:f>'Pernoctaciones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TF'!$N$163:$N$175</c:f>
              <c:numCache>
                <c:formatCode>0.0%</c:formatCode>
                <c:ptCount val="13"/>
                <c:pt idx="0">
                  <c:v>-0.21312607944732298</c:v>
                </c:pt>
                <c:pt idx="1">
                  <c:v>4.6728971962616717E-2</c:v>
                </c:pt>
                <c:pt idx="2">
                  <c:v>-0.33617021276595749</c:v>
                </c:pt>
                <c:pt idx="3">
                  <c:v>-9.739222990952634E-2</c:v>
                </c:pt>
                <c:pt idx="4">
                  <c:v>-0.19928278688524592</c:v>
                </c:pt>
                <c:pt idx="5">
                  <c:v>1.9889502762430844E-2</c:v>
                </c:pt>
                <c:pt idx="12">
                  <c:v>-0.15520446096654272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99F-43DE-A9E0-E1B7FD2E0F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969-4D6F-8F71-F3842E82DC48}"/>
              </c:ext>
            </c:extLst>
          </c:dPt>
          <c:val>
            <c:numRef>
              <c:f>'Pernoctaciones evol mensu TF'!$I$185:$I$197</c:f>
              <c:numCache>
                <c:formatCode>#,##0</c:formatCode>
                <c:ptCount val="13"/>
                <c:pt idx="0">
                  <c:v>618</c:v>
                </c:pt>
                <c:pt idx="1">
                  <c:v>515</c:v>
                </c:pt>
                <c:pt idx="2">
                  <c:v>852</c:v>
                </c:pt>
                <c:pt idx="3">
                  <c:v>425</c:v>
                </c:pt>
                <c:pt idx="4">
                  <c:v>258</c:v>
                </c:pt>
                <c:pt idx="5">
                  <c:v>221</c:v>
                </c:pt>
                <c:pt idx="6">
                  <c:v>344</c:v>
                </c:pt>
                <c:pt idx="7">
                  <c:v>416</c:v>
                </c:pt>
                <c:pt idx="8">
                  <c:v>288</c:v>
                </c:pt>
                <c:pt idx="9">
                  <c:v>386</c:v>
                </c:pt>
                <c:pt idx="10">
                  <c:v>961</c:v>
                </c:pt>
                <c:pt idx="11">
                  <c:v>674</c:v>
                </c:pt>
                <c:pt idx="12">
                  <c:v>5958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969-4D6F-8F71-F3842E82DC48}"/>
            </c:ext>
          </c:extLst>
        </c:ser>
        <c:ser>
          <c:idx val="0"/>
          <c:order val="2"/>
          <c:tx>
            <c:strRef>
              <c:f>'Pernoctaciones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969-4D6F-8F71-F3842E82DC4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TF'!$K$185:$K$197</c:f>
              <c:numCache>
                <c:formatCode>#,##0</c:formatCode>
                <c:ptCount val="13"/>
                <c:pt idx="0">
                  <c:v>796</c:v>
                </c:pt>
                <c:pt idx="1">
                  <c:v>580</c:v>
                </c:pt>
                <c:pt idx="2">
                  <c:v>529</c:v>
                </c:pt>
                <c:pt idx="3">
                  <c:v>432</c:v>
                </c:pt>
                <c:pt idx="4">
                  <c:v>367</c:v>
                </c:pt>
                <c:pt idx="5">
                  <c:v>272</c:v>
                </c:pt>
                <c:pt idx="6">
                  <c:v>325</c:v>
                </c:pt>
                <c:pt idx="7">
                  <c:v>463</c:v>
                </c:pt>
                <c:pt idx="8">
                  <c:v>439</c:v>
                </c:pt>
                <c:pt idx="9">
                  <c:v>369</c:v>
                </c:pt>
                <c:pt idx="10">
                  <c:v>532</c:v>
                </c:pt>
                <c:pt idx="11">
                  <c:v>812</c:v>
                </c:pt>
                <c:pt idx="12">
                  <c:v>5916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969-4D6F-8F71-F3842E82DC48}"/>
            </c:ext>
          </c:extLst>
        </c:ser>
        <c:ser>
          <c:idx val="1"/>
          <c:order val="3"/>
          <c:tx>
            <c:strRef>
              <c:f>'Pernoctaciones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969-4D6F-8F71-F3842E82DC4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969-4D6F-8F71-F3842E82DC4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TF'!$M$185:$M$197</c:f>
              <c:numCache>
                <c:formatCode>#,##0</c:formatCode>
                <c:ptCount val="13"/>
                <c:pt idx="0">
                  <c:v>915</c:v>
                </c:pt>
                <c:pt idx="1">
                  <c:v>590</c:v>
                </c:pt>
                <c:pt idx="2">
                  <c:v>411</c:v>
                </c:pt>
                <c:pt idx="3">
                  <c:v>296</c:v>
                </c:pt>
                <c:pt idx="4">
                  <c:v>397</c:v>
                </c:pt>
                <c:pt idx="5">
                  <c:v>281</c:v>
                </c:pt>
                <c:pt idx="12">
                  <c:v>2890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969-4D6F-8F71-F3842E82D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969-4D6F-8F71-F3842E82DC4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529</c:v>
                      </c:pt>
                      <c:pt idx="1">
                        <c:v>333</c:v>
                      </c:pt>
                      <c:pt idx="2">
                        <c:v>258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126</c:v>
                      </c:pt>
                      <c:pt idx="8">
                        <c:v>140</c:v>
                      </c:pt>
                      <c:pt idx="9">
                        <c:v>131</c:v>
                      </c:pt>
                      <c:pt idx="10">
                        <c:v>98</c:v>
                      </c:pt>
                      <c:pt idx="11">
                        <c:v>193</c:v>
                      </c:pt>
                      <c:pt idx="12">
                        <c:v>1919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969-4D6F-8F71-F3842E82DC4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969-4D6F-8F71-F3842E82DC4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969-4D6F-8F71-F3842E82DC4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69-4D6F-8F71-F3842E82DC4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69-4D6F-8F71-F3842E82DC4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69-4D6F-8F71-F3842E82DC4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69-4D6F-8F71-F3842E82DC4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69-4D6F-8F71-F3842E82DC4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69-4D6F-8F71-F3842E82DC4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969-4D6F-8F71-F3842E82DC4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969-4D6F-8F71-F3842E82DC4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969-4D6F-8F71-F3842E82DC4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969-4D6F-8F71-F3842E82DC4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969-4D6F-8F71-F3842E82DC48}"/>
              </c:ext>
            </c:extLst>
          </c:dPt>
          <c:cat>
            <c:strRef>
              <c:f>'Pernoctaciones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TF'!$N$185:$N$197</c:f>
              <c:numCache>
                <c:formatCode>0.0%</c:formatCode>
                <c:ptCount val="13"/>
                <c:pt idx="0">
                  <c:v>0.14949748743718594</c:v>
                </c:pt>
                <c:pt idx="1">
                  <c:v>1.7241379310344751E-2</c:v>
                </c:pt>
                <c:pt idx="2">
                  <c:v>-0.22306238185255201</c:v>
                </c:pt>
                <c:pt idx="3">
                  <c:v>-0.31481481481481477</c:v>
                </c:pt>
                <c:pt idx="4">
                  <c:v>8.1743869209809361E-2</c:v>
                </c:pt>
                <c:pt idx="5">
                  <c:v>3.3088235294117752E-2</c:v>
                </c:pt>
                <c:pt idx="12">
                  <c:v>-2.8897849462365621E-2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969-4D6F-8F71-F3842E82DC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36E-4E24-97B3-CB86D7D9CB38}"/>
              </c:ext>
            </c:extLst>
          </c:dPt>
          <c:val>
            <c:numRef>
              <c:f>'Pernoctaciones evol mensu TF'!$I$207:$I$219</c:f>
              <c:numCache>
                <c:formatCode>#,##0</c:formatCode>
                <c:ptCount val="13"/>
                <c:pt idx="0">
                  <c:v>839</c:v>
                </c:pt>
                <c:pt idx="1">
                  <c:v>647</c:v>
                </c:pt>
                <c:pt idx="2">
                  <c:v>645</c:v>
                </c:pt>
                <c:pt idx="3">
                  <c:v>482</c:v>
                </c:pt>
                <c:pt idx="4">
                  <c:v>431</c:v>
                </c:pt>
                <c:pt idx="5">
                  <c:v>225</c:v>
                </c:pt>
                <c:pt idx="6">
                  <c:v>569</c:v>
                </c:pt>
                <c:pt idx="7">
                  <c:v>720</c:v>
                </c:pt>
                <c:pt idx="8">
                  <c:v>576</c:v>
                </c:pt>
                <c:pt idx="9">
                  <c:v>441</c:v>
                </c:pt>
                <c:pt idx="10">
                  <c:v>827</c:v>
                </c:pt>
                <c:pt idx="11">
                  <c:v>981</c:v>
                </c:pt>
                <c:pt idx="12">
                  <c:v>7383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6E-4E24-97B3-CB86D7D9CB38}"/>
            </c:ext>
          </c:extLst>
        </c:ser>
        <c:ser>
          <c:idx val="0"/>
          <c:order val="2"/>
          <c:tx>
            <c:strRef>
              <c:f>'Pernoctaciones evol mensu TF'!$K$205:$L$205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36E-4E24-97B3-CB86D7D9CB3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TF'!$K$207:$K$219</c:f>
              <c:numCache>
                <c:formatCode>#,##0</c:formatCode>
                <c:ptCount val="13"/>
                <c:pt idx="0">
                  <c:v>913</c:v>
                </c:pt>
                <c:pt idx="1">
                  <c:v>794</c:v>
                </c:pt>
                <c:pt idx="2">
                  <c:v>658</c:v>
                </c:pt>
                <c:pt idx="3">
                  <c:v>538</c:v>
                </c:pt>
                <c:pt idx="4">
                  <c:v>534</c:v>
                </c:pt>
                <c:pt idx="5">
                  <c:v>267</c:v>
                </c:pt>
                <c:pt idx="6">
                  <c:v>431</c:v>
                </c:pt>
                <c:pt idx="7">
                  <c:v>977</c:v>
                </c:pt>
                <c:pt idx="8">
                  <c:v>351</c:v>
                </c:pt>
                <c:pt idx="9">
                  <c:v>517</c:v>
                </c:pt>
                <c:pt idx="10">
                  <c:v>704</c:v>
                </c:pt>
                <c:pt idx="11">
                  <c:v>744</c:v>
                </c:pt>
                <c:pt idx="12">
                  <c:v>7428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6E-4E24-97B3-CB86D7D9CB38}"/>
            </c:ext>
          </c:extLst>
        </c:ser>
        <c:ser>
          <c:idx val="1"/>
          <c:order val="3"/>
          <c:tx>
            <c:strRef>
              <c:f>'Pernoctaciones evol mensu TF'!$M$205:$N$205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36E-4E24-97B3-CB86D7D9CB3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36E-4E24-97B3-CB86D7D9CB3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TF'!$M$207:$M$219</c:f>
              <c:numCache>
                <c:formatCode>#,##0</c:formatCode>
                <c:ptCount val="13"/>
                <c:pt idx="0">
                  <c:v>1114</c:v>
                </c:pt>
                <c:pt idx="1">
                  <c:v>881</c:v>
                </c:pt>
                <c:pt idx="2">
                  <c:v>653</c:v>
                </c:pt>
                <c:pt idx="3">
                  <c:v>382</c:v>
                </c:pt>
                <c:pt idx="4">
                  <c:v>431</c:v>
                </c:pt>
                <c:pt idx="5">
                  <c:v>360</c:v>
                </c:pt>
                <c:pt idx="12">
                  <c:v>3821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36E-4E24-97B3-CB86D7D9C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36E-4E24-97B3-CB86D7D9CB3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TF'!$C$207:$C$219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661</c:v>
                      </c:pt>
                      <c:pt idx="1">
                        <c:v>450</c:v>
                      </c:pt>
                      <c:pt idx="2">
                        <c:v>200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77</c:v>
                      </c:pt>
                      <c:pt idx="8">
                        <c:v>29</c:v>
                      </c:pt>
                      <c:pt idx="9">
                        <c:v>47</c:v>
                      </c:pt>
                      <c:pt idx="10">
                        <c:v>129</c:v>
                      </c:pt>
                      <c:pt idx="11">
                        <c:v>101</c:v>
                      </c:pt>
                      <c:pt idx="12">
                        <c:v>1882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36E-4E24-97B3-CB86D7D9CB3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TF'!$N$206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36E-4E24-97B3-CB86D7D9CB3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36E-4E24-97B3-CB86D7D9CB3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36E-4E24-97B3-CB86D7D9CB3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36E-4E24-97B3-CB86D7D9CB3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36E-4E24-97B3-CB86D7D9CB3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36E-4E24-97B3-CB86D7D9CB3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36E-4E24-97B3-CB86D7D9CB3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36E-4E24-97B3-CB86D7D9CB3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36E-4E24-97B3-CB86D7D9CB3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36E-4E24-97B3-CB86D7D9CB3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36E-4E24-97B3-CB86D7D9CB3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36E-4E24-97B3-CB86D7D9CB3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36E-4E24-97B3-CB86D7D9CB38}"/>
              </c:ext>
            </c:extLst>
          </c:dPt>
          <c:cat>
            <c:strRef>
              <c:f>'Pernoctaciones evol mensu TF'!$B$207:$B$218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TF'!$N$207:$N$219</c:f>
              <c:numCache>
                <c:formatCode>0.0%</c:formatCode>
                <c:ptCount val="13"/>
                <c:pt idx="0">
                  <c:v>0.22015334063526826</c:v>
                </c:pt>
                <c:pt idx="1">
                  <c:v>0.10957178841309823</c:v>
                </c:pt>
                <c:pt idx="2">
                  <c:v>-7.5987841945288626E-3</c:v>
                </c:pt>
                <c:pt idx="3">
                  <c:v>-0.28996282527881045</c:v>
                </c:pt>
                <c:pt idx="4">
                  <c:v>-0.19288389513108617</c:v>
                </c:pt>
                <c:pt idx="5">
                  <c:v>0.348314606741573</c:v>
                </c:pt>
                <c:pt idx="12">
                  <c:v>3.1587473002159916E-2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36E-4E24-97B3-CB86D7D9C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2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86-4605-9DE9-BC486A2C9C9B}"/>
              </c:ext>
            </c:extLst>
          </c:dPt>
          <c:val>
            <c:numRef>
              <c:f>'Pernoctaciones evol mensu TF'!$I$229:$I$241</c:f>
              <c:numCache>
                <c:formatCode>#,##0</c:formatCode>
                <c:ptCount val="13"/>
                <c:pt idx="0">
                  <c:v>531</c:v>
                </c:pt>
                <c:pt idx="1">
                  <c:v>389</c:v>
                </c:pt>
                <c:pt idx="2">
                  <c:v>538</c:v>
                </c:pt>
                <c:pt idx="3">
                  <c:v>210</c:v>
                </c:pt>
                <c:pt idx="4">
                  <c:v>51</c:v>
                </c:pt>
                <c:pt idx="5">
                  <c:v>162</c:v>
                </c:pt>
                <c:pt idx="6">
                  <c:v>144</c:v>
                </c:pt>
                <c:pt idx="7">
                  <c:v>234</c:v>
                </c:pt>
                <c:pt idx="8">
                  <c:v>136</c:v>
                </c:pt>
                <c:pt idx="9">
                  <c:v>223</c:v>
                </c:pt>
                <c:pt idx="10">
                  <c:v>445</c:v>
                </c:pt>
                <c:pt idx="11">
                  <c:v>442</c:v>
                </c:pt>
                <c:pt idx="12">
                  <c:v>3505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86-4605-9DE9-BC486A2C9C9B}"/>
            </c:ext>
          </c:extLst>
        </c:ser>
        <c:ser>
          <c:idx val="0"/>
          <c:order val="2"/>
          <c:tx>
            <c:strRef>
              <c:f>'Pernoctaciones evol mensu TF'!$K$227:$L$227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86-4605-9DE9-BC486A2C9C9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TF'!$K$229:$K$241</c:f>
              <c:numCache>
                <c:formatCode>#,##0</c:formatCode>
                <c:ptCount val="13"/>
                <c:pt idx="0">
                  <c:v>839</c:v>
                </c:pt>
                <c:pt idx="1">
                  <c:v>667</c:v>
                </c:pt>
                <c:pt idx="2">
                  <c:v>523</c:v>
                </c:pt>
                <c:pt idx="3">
                  <c:v>220</c:v>
                </c:pt>
                <c:pt idx="4">
                  <c:v>37</c:v>
                </c:pt>
                <c:pt idx="5">
                  <c:v>228</c:v>
                </c:pt>
                <c:pt idx="6">
                  <c:v>319</c:v>
                </c:pt>
                <c:pt idx="7">
                  <c:v>102</c:v>
                </c:pt>
                <c:pt idx="8">
                  <c:v>55</c:v>
                </c:pt>
                <c:pt idx="9">
                  <c:v>251</c:v>
                </c:pt>
                <c:pt idx="10">
                  <c:v>252</c:v>
                </c:pt>
                <c:pt idx="11">
                  <c:v>377</c:v>
                </c:pt>
                <c:pt idx="12">
                  <c:v>3870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86-4605-9DE9-BC486A2C9C9B}"/>
            </c:ext>
          </c:extLst>
        </c:ser>
        <c:ser>
          <c:idx val="1"/>
          <c:order val="3"/>
          <c:tx>
            <c:strRef>
              <c:f>'Pernoctaciones evol mensu TF'!$M$227:$N$227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86-4605-9DE9-BC486A2C9C9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B86-4605-9DE9-BC486A2C9C9B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TF'!$M$229:$M$241</c:f>
              <c:numCache>
                <c:formatCode>#,##0</c:formatCode>
                <c:ptCount val="13"/>
                <c:pt idx="0">
                  <c:v>555</c:v>
                </c:pt>
                <c:pt idx="1">
                  <c:v>428</c:v>
                </c:pt>
                <c:pt idx="2">
                  <c:v>403</c:v>
                </c:pt>
                <c:pt idx="3">
                  <c:v>184</c:v>
                </c:pt>
                <c:pt idx="4">
                  <c:v>24</c:v>
                </c:pt>
                <c:pt idx="5">
                  <c:v>75</c:v>
                </c:pt>
                <c:pt idx="12">
                  <c:v>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B86-4605-9DE9-BC486A2C9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B86-4605-9DE9-BC486A2C9C9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TF'!$C$229:$C$241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738</c:v>
                      </c:pt>
                      <c:pt idx="1">
                        <c:v>520</c:v>
                      </c:pt>
                      <c:pt idx="2">
                        <c:v>322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11</c:v>
                      </c:pt>
                      <c:pt idx="8">
                        <c:v>0</c:v>
                      </c:pt>
                      <c:pt idx="9">
                        <c:v>45</c:v>
                      </c:pt>
                      <c:pt idx="10">
                        <c:v>18</c:v>
                      </c:pt>
                      <c:pt idx="11">
                        <c:v>13</c:v>
                      </c:pt>
                      <c:pt idx="12">
                        <c:v>1701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B86-4605-9DE9-BC486A2C9C9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TF'!$N$228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B86-4605-9DE9-BC486A2C9C9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B86-4605-9DE9-BC486A2C9C9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B86-4605-9DE9-BC486A2C9C9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86-4605-9DE9-BC486A2C9C9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86-4605-9DE9-BC486A2C9C9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86-4605-9DE9-BC486A2C9C9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86-4605-9DE9-BC486A2C9C9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86-4605-9DE9-BC486A2C9C9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86-4605-9DE9-BC486A2C9C9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86-4605-9DE9-BC486A2C9C9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86-4605-9DE9-BC486A2C9C9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86-4605-9DE9-BC486A2C9C9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86-4605-9DE9-BC486A2C9C9B}"/>
              </c:ext>
            </c:extLst>
          </c:dPt>
          <c:cat>
            <c:strRef>
              <c:f>'Pernoctaciones evol mensu TF'!$B$229:$B$240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TF'!$N$229:$N$241</c:f>
              <c:numCache>
                <c:formatCode>0.0%</c:formatCode>
                <c:ptCount val="13"/>
                <c:pt idx="0">
                  <c:v>-0.33849821215733011</c:v>
                </c:pt>
                <c:pt idx="1">
                  <c:v>-0.35832083958020988</c:v>
                </c:pt>
                <c:pt idx="2">
                  <c:v>-0.22944550669216057</c:v>
                </c:pt>
                <c:pt idx="3">
                  <c:v>-0.16363636363636369</c:v>
                </c:pt>
                <c:pt idx="4">
                  <c:v>-0.35135135135135132</c:v>
                </c:pt>
                <c:pt idx="5">
                  <c:v>-0.67105263157894735</c:v>
                </c:pt>
                <c:pt idx="12">
                  <c:v>-0.3361177406523469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B86-4605-9DE9-BC486A2C9C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'Pernoctaciones evol mensu TF'!$I$253:$J$253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26-4ACC-9F19-B5796DD9C328}"/>
              </c:ext>
            </c:extLst>
          </c:dPt>
          <c:val>
            <c:numRef>
              <c:f>'Pernoctaciones evol mensu TF'!$I$255:$I$267</c:f>
              <c:numCache>
                <c:formatCode>#,##0</c:formatCode>
                <c:ptCount val="13"/>
                <c:pt idx="0">
                  <c:v>1003</c:v>
                </c:pt>
                <c:pt idx="1">
                  <c:v>608</c:v>
                </c:pt>
                <c:pt idx="2">
                  <c:v>626</c:v>
                </c:pt>
                <c:pt idx="3">
                  <c:v>411</c:v>
                </c:pt>
                <c:pt idx="4">
                  <c:v>95</c:v>
                </c:pt>
                <c:pt idx="5">
                  <c:v>78</c:v>
                </c:pt>
                <c:pt idx="6">
                  <c:v>141</c:v>
                </c:pt>
                <c:pt idx="7">
                  <c:v>102</c:v>
                </c:pt>
                <c:pt idx="8">
                  <c:v>105</c:v>
                </c:pt>
                <c:pt idx="9">
                  <c:v>452</c:v>
                </c:pt>
                <c:pt idx="10">
                  <c:v>635</c:v>
                </c:pt>
                <c:pt idx="11">
                  <c:v>656</c:v>
                </c:pt>
                <c:pt idx="12">
                  <c:v>4912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26-4ACC-9F19-B5796DD9C328}"/>
            </c:ext>
          </c:extLst>
        </c:ser>
        <c:ser>
          <c:idx val="0"/>
          <c:order val="2"/>
          <c:tx>
            <c:strRef>
              <c:f>'Pernoctaciones evol mensu TF'!$K$253:$L$253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26-4ACC-9F19-B5796DD9C32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TF'!$K$255:$K$267</c:f>
              <c:numCache>
                <c:formatCode>#,##0</c:formatCode>
                <c:ptCount val="13"/>
                <c:pt idx="0">
                  <c:v>905</c:v>
                </c:pt>
                <c:pt idx="1">
                  <c:v>788</c:v>
                </c:pt>
                <c:pt idx="2">
                  <c:v>694</c:v>
                </c:pt>
                <c:pt idx="3">
                  <c:v>581</c:v>
                </c:pt>
                <c:pt idx="4">
                  <c:v>78</c:v>
                </c:pt>
                <c:pt idx="5">
                  <c:v>57</c:v>
                </c:pt>
                <c:pt idx="6">
                  <c:v>175</c:v>
                </c:pt>
                <c:pt idx="7">
                  <c:v>168</c:v>
                </c:pt>
                <c:pt idx="8">
                  <c:v>48</c:v>
                </c:pt>
                <c:pt idx="9">
                  <c:v>379</c:v>
                </c:pt>
                <c:pt idx="10">
                  <c:v>655</c:v>
                </c:pt>
                <c:pt idx="11">
                  <c:v>889</c:v>
                </c:pt>
                <c:pt idx="12">
                  <c:v>5417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26-4ACC-9F19-B5796DD9C328}"/>
            </c:ext>
          </c:extLst>
        </c:ser>
        <c:ser>
          <c:idx val="1"/>
          <c:order val="3"/>
          <c:tx>
            <c:strRef>
              <c:f>'Pernoctaciones evol mensu TF'!$M$253:$N$253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26-4ACC-9F19-B5796DD9C32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B26-4ACC-9F19-B5796DD9C328}"/>
              </c:ext>
            </c:extLst>
          </c:dPt>
          <c:cat>
            <c:strRef>
              <c:f>'Pernoctaciones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'Pernoctaciones evol mensu TF'!$M$255:$M$267</c:f>
              <c:numCache>
                <c:formatCode>#,##0</c:formatCode>
                <c:ptCount val="13"/>
                <c:pt idx="0">
                  <c:v>985</c:v>
                </c:pt>
                <c:pt idx="1">
                  <c:v>653</c:v>
                </c:pt>
                <c:pt idx="2">
                  <c:v>528</c:v>
                </c:pt>
                <c:pt idx="3">
                  <c:v>256</c:v>
                </c:pt>
                <c:pt idx="4">
                  <c:v>122</c:v>
                </c:pt>
                <c:pt idx="5">
                  <c:v>74</c:v>
                </c:pt>
                <c:pt idx="12">
                  <c:v>2618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B26-4ACC-9F19-B5796DD9C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'Pernoctaciones evol mensu TF'!$C$253:$D$253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B26-4ACC-9F19-B5796DD9C32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'Pernoctaciones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'Pernoctaciones evol mensu TF'!$C$255:$C$267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814</c:v>
                      </c:pt>
                      <c:pt idx="1">
                        <c:v>745</c:v>
                      </c:pt>
                      <c:pt idx="2">
                        <c:v>339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24</c:v>
                      </c:pt>
                      <c:pt idx="8">
                        <c:v>63</c:v>
                      </c:pt>
                      <c:pt idx="9">
                        <c:v>33</c:v>
                      </c:pt>
                      <c:pt idx="10">
                        <c:v>49</c:v>
                      </c:pt>
                      <c:pt idx="11">
                        <c:v>47</c:v>
                      </c:pt>
                      <c:pt idx="12">
                        <c:v>2155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B26-4ACC-9F19-B5796DD9C32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'Pernoctaciones evol mensu TF'!$N$254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B26-4ACC-9F19-B5796DD9C32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B26-4ACC-9F19-B5796DD9C32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26-4ACC-9F19-B5796DD9C32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26-4ACC-9F19-B5796DD9C32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26-4ACC-9F19-B5796DD9C32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26-4ACC-9F19-B5796DD9C32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26-4ACC-9F19-B5796DD9C32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26-4ACC-9F19-B5796DD9C32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26-4ACC-9F19-B5796DD9C32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26-4ACC-9F19-B5796DD9C32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26-4ACC-9F19-B5796DD9C32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26-4ACC-9F19-B5796DD9C32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26-4ACC-9F19-B5796DD9C328}"/>
              </c:ext>
            </c:extLst>
          </c:dPt>
          <c:cat>
            <c:strRef>
              <c:f>'Pernoctaciones evol mensu TF'!$B$255:$B$266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'Pernoctaciones evol mensu TF'!$N$255:$N$267</c:f>
              <c:numCache>
                <c:formatCode>0.0%</c:formatCode>
                <c:ptCount val="13"/>
                <c:pt idx="0">
                  <c:v>8.8397790055248615E-2</c:v>
                </c:pt>
                <c:pt idx="1">
                  <c:v>-0.17131979695431476</c:v>
                </c:pt>
                <c:pt idx="2">
                  <c:v>-0.23919308357348701</c:v>
                </c:pt>
                <c:pt idx="3">
                  <c:v>-0.55938037865748713</c:v>
                </c:pt>
                <c:pt idx="4">
                  <c:v>0.5641025641025641</c:v>
                </c:pt>
                <c:pt idx="5">
                  <c:v>0.29824561403508776</c:v>
                </c:pt>
                <c:pt idx="12">
                  <c:v>-0.15630035449564939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B26-4ACC-9F19-B5796DD9C3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0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4C5-40E6-94D4-F6B78ECC7017}"/>
              </c:ext>
            </c:extLst>
          </c:dPt>
          <c:val>
            <c:numRef>
              <c:f>'Pernocta evol mensu TF cat'!$I$9:$I$21</c:f>
              <c:numCache>
                <c:formatCode>#,##0</c:formatCode>
                <c:ptCount val="13"/>
                <c:pt idx="0">
                  <c:v>59578</c:v>
                </c:pt>
                <c:pt idx="1">
                  <c:v>52194</c:v>
                </c:pt>
                <c:pt idx="2">
                  <c:v>58354</c:v>
                </c:pt>
                <c:pt idx="3">
                  <c:v>42717</c:v>
                </c:pt>
                <c:pt idx="4">
                  <c:v>42611</c:v>
                </c:pt>
                <c:pt idx="5">
                  <c:v>38639</c:v>
                </c:pt>
                <c:pt idx="6">
                  <c:v>40407</c:v>
                </c:pt>
                <c:pt idx="7">
                  <c:v>43373</c:v>
                </c:pt>
                <c:pt idx="8">
                  <c:v>40151</c:v>
                </c:pt>
                <c:pt idx="9">
                  <c:v>49321</c:v>
                </c:pt>
                <c:pt idx="10">
                  <c:v>55991</c:v>
                </c:pt>
                <c:pt idx="11">
                  <c:v>53126</c:v>
                </c:pt>
                <c:pt idx="12">
                  <c:v>576462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C5-40E6-94D4-F6B78ECC7017}"/>
            </c:ext>
          </c:extLst>
        </c:ser>
        <c:ser>
          <c:idx val="0"/>
          <c:order val="2"/>
          <c:tx>
            <c:strRef>
              <c:f>'Pernocta evol mensu TF cat'!$K$7:$L$7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4C5-40E6-94D4-F6B78ECC701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cat'!$K$9:$K$21</c:f>
              <c:numCache>
                <c:formatCode>#,##0</c:formatCode>
                <c:ptCount val="13"/>
                <c:pt idx="0">
                  <c:v>62651</c:v>
                </c:pt>
                <c:pt idx="1">
                  <c:v>55957</c:v>
                </c:pt>
                <c:pt idx="2">
                  <c:v>58643</c:v>
                </c:pt>
                <c:pt idx="3">
                  <c:v>46133</c:v>
                </c:pt>
                <c:pt idx="4">
                  <c:v>38316</c:v>
                </c:pt>
                <c:pt idx="5">
                  <c:v>40074</c:v>
                </c:pt>
                <c:pt idx="6">
                  <c:v>45242</c:v>
                </c:pt>
                <c:pt idx="7">
                  <c:v>42595</c:v>
                </c:pt>
                <c:pt idx="8">
                  <c:v>43154</c:v>
                </c:pt>
                <c:pt idx="9">
                  <c:v>43124</c:v>
                </c:pt>
                <c:pt idx="10">
                  <c:v>53169</c:v>
                </c:pt>
                <c:pt idx="11">
                  <c:v>55215</c:v>
                </c:pt>
                <c:pt idx="12">
                  <c:v>584273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4C5-40E6-94D4-F6B78ECC7017}"/>
            </c:ext>
          </c:extLst>
        </c:ser>
        <c:ser>
          <c:idx val="1"/>
          <c:order val="3"/>
          <c:tx>
            <c:strRef>
              <c:f>'Pernocta evol mensu TF cat'!$M$7:$N$7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4C5-40E6-94D4-F6B78ECC701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4C5-40E6-94D4-F6B78ECC7017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cat'!$M$9:$M$21</c:f>
              <c:numCache>
                <c:formatCode>#,##0</c:formatCode>
                <c:ptCount val="13"/>
                <c:pt idx="0">
                  <c:v>57077</c:v>
                </c:pt>
                <c:pt idx="1">
                  <c:v>52638</c:v>
                </c:pt>
                <c:pt idx="2">
                  <c:v>56752</c:v>
                </c:pt>
                <c:pt idx="3">
                  <c:v>47123</c:v>
                </c:pt>
                <c:pt idx="4">
                  <c:v>45582</c:v>
                </c:pt>
                <c:pt idx="5">
                  <c:v>42497</c:v>
                </c:pt>
                <c:pt idx="12">
                  <c:v>301669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4C5-40E6-94D4-F6B78ECC7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4C5-40E6-94D4-F6B78ECC701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cat'!$C$9:$C$21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46163</c:v>
                      </c:pt>
                      <c:pt idx="1">
                        <c:v>51846</c:v>
                      </c:pt>
                      <c:pt idx="2">
                        <c:v>20252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15225</c:v>
                      </c:pt>
                      <c:pt idx="8">
                        <c:v>14501</c:v>
                      </c:pt>
                      <c:pt idx="9">
                        <c:v>17308</c:v>
                      </c:pt>
                      <c:pt idx="10">
                        <c:v>14807</c:v>
                      </c:pt>
                      <c:pt idx="11">
                        <c:v>13546</c:v>
                      </c:pt>
                      <c:pt idx="12">
                        <c:v>216673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4C5-40E6-94D4-F6B78ECC701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4C5-40E6-94D4-F6B78ECC701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4C5-40E6-94D4-F6B78ECC701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C5-40E6-94D4-F6B78ECC701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C5-40E6-94D4-F6B78ECC701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C5-40E6-94D4-F6B78ECC701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C5-40E6-94D4-F6B78ECC701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C5-40E6-94D4-F6B78ECC701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C5-40E6-94D4-F6B78ECC701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C5-40E6-94D4-F6B78ECC701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C5-40E6-94D4-F6B78ECC701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C5-40E6-94D4-F6B78ECC701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4C5-40E6-94D4-F6B78ECC701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4C5-40E6-94D4-F6B78ECC7017}"/>
              </c:ext>
            </c:extLst>
          </c:dPt>
          <c:cat>
            <c:strRef>
              <c:f>'Pernocta evol mensu TF cat'!$B$9:$B$20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cat'!$N$9:$N$21</c:f>
              <c:numCache>
                <c:formatCode>0.0%</c:formatCode>
                <c:ptCount val="13"/>
                <c:pt idx="0">
                  <c:v>-8.8969050773331615E-2</c:v>
                </c:pt>
                <c:pt idx="1">
                  <c:v>-5.9313401361759888E-2</c:v>
                </c:pt>
                <c:pt idx="2">
                  <c:v>-3.2245962860017352E-2</c:v>
                </c:pt>
                <c:pt idx="3">
                  <c:v>2.1459692627836979E-2</c:v>
                </c:pt>
                <c:pt idx="4">
                  <c:v>0.18963357344190412</c:v>
                </c:pt>
                <c:pt idx="5">
                  <c:v>6.0463143185107482E-2</c:v>
                </c:pt>
                <c:pt idx="12">
                  <c:v>-3.4794250001657367E-4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4C5-40E6-94D4-F6B78ECC70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ED2-4B8D-96C4-418FE2150D67}"/>
              </c:ext>
            </c:extLst>
          </c:dPt>
          <c:val>
            <c:numRef>
              <c:f>'Viajeros entr evol mensu TF'!$I$75:$I$87</c:f>
              <c:numCache>
                <c:formatCode>#,##0</c:formatCode>
                <c:ptCount val="13"/>
                <c:pt idx="0">
                  <c:v>5002</c:v>
                </c:pt>
                <c:pt idx="1">
                  <c:v>5638</c:v>
                </c:pt>
                <c:pt idx="2">
                  <c:v>6582</c:v>
                </c:pt>
                <c:pt idx="3">
                  <c:v>5675</c:v>
                </c:pt>
                <c:pt idx="4">
                  <c:v>6315</c:v>
                </c:pt>
                <c:pt idx="5">
                  <c:v>6349</c:v>
                </c:pt>
                <c:pt idx="6">
                  <c:v>4487</c:v>
                </c:pt>
                <c:pt idx="7">
                  <c:v>3934</c:v>
                </c:pt>
                <c:pt idx="8">
                  <c:v>4833</c:v>
                </c:pt>
                <c:pt idx="9">
                  <c:v>6901</c:v>
                </c:pt>
                <c:pt idx="10">
                  <c:v>5188</c:v>
                </c:pt>
                <c:pt idx="11">
                  <c:v>5217</c:v>
                </c:pt>
                <c:pt idx="12">
                  <c:v>66121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D2-4B8D-96C4-418FE2150D67}"/>
            </c:ext>
          </c:extLst>
        </c:ser>
        <c:ser>
          <c:idx val="0"/>
          <c:order val="2"/>
          <c:tx>
            <c:strRef>
              <c:f>'Viajeros entr evol mensu TF'!$K$73:$L$73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ED2-4B8D-96C4-418FE2150D6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TF'!$K$75:$K$87</c:f>
              <c:numCache>
                <c:formatCode>#,##0</c:formatCode>
                <c:ptCount val="13"/>
                <c:pt idx="0">
                  <c:v>5396</c:v>
                </c:pt>
                <c:pt idx="1">
                  <c:v>5012</c:v>
                </c:pt>
                <c:pt idx="2">
                  <c:v>5942</c:v>
                </c:pt>
                <c:pt idx="3">
                  <c:v>4760</c:v>
                </c:pt>
                <c:pt idx="4">
                  <c:v>5666</c:v>
                </c:pt>
                <c:pt idx="5">
                  <c:v>7333</c:v>
                </c:pt>
                <c:pt idx="6">
                  <c:v>9878</c:v>
                </c:pt>
                <c:pt idx="7">
                  <c:v>5339</c:v>
                </c:pt>
                <c:pt idx="8">
                  <c:v>8109</c:v>
                </c:pt>
                <c:pt idx="9">
                  <c:v>5022</c:v>
                </c:pt>
                <c:pt idx="10">
                  <c:v>6154</c:v>
                </c:pt>
                <c:pt idx="11">
                  <c:v>7182</c:v>
                </c:pt>
                <c:pt idx="12">
                  <c:v>75793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ED2-4B8D-96C4-418FE2150D67}"/>
            </c:ext>
          </c:extLst>
        </c:ser>
        <c:ser>
          <c:idx val="1"/>
          <c:order val="3"/>
          <c:tx>
            <c:strRef>
              <c:f>'Viajeros entr evol mensu TF'!$M$73:$N$73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ED2-4B8D-96C4-418FE2150D6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ED2-4B8D-96C4-418FE2150D6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TF'!$M$75:$M$87</c:f>
              <c:numCache>
                <c:formatCode>#,##0</c:formatCode>
                <c:ptCount val="13"/>
                <c:pt idx="0">
                  <c:v>4891</c:v>
                </c:pt>
                <c:pt idx="1">
                  <c:v>6097</c:v>
                </c:pt>
                <c:pt idx="2">
                  <c:v>7976</c:v>
                </c:pt>
                <c:pt idx="3">
                  <c:v>6754</c:v>
                </c:pt>
                <c:pt idx="4">
                  <c:v>9427</c:v>
                </c:pt>
                <c:pt idx="5">
                  <c:v>8899</c:v>
                </c:pt>
                <c:pt idx="12">
                  <c:v>44044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ED2-4B8D-96C4-418FE2150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ED2-4B8D-96C4-418FE2150D6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5042</c:v>
                      </c:pt>
                      <c:pt idx="1">
                        <c:v>6261</c:v>
                      </c:pt>
                      <c:pt idx="2">
                        <c:v>2412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1206</c:v>
                      </c:pt>
                      <c:pt idx="8">
                        <c:v>1770</c:v>
                      </c:pt>
                      <c:pt idx="9">
                        <c:v>2794</c:v>
                      </c:pt>
                      <c:pt idx="10">
                        <c:v>2369</c:v>
                      </c:pt>
                      <c:pt idx="11">
                        <c:v>2222</c:v>
                      </c:pt>
                      <c:pt idx="12">
                        <c:v>27791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ED2-4B8D-96C4-418FE2150D6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ED2-4B8D-96C4-418FE2150D6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ED2-4B8D-96C4-418FE2150D6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ED2-4B8D-96C4-418FE2150D6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ED2-4B8D-96C4-418FE2150D6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ED2-4B8D-96C4-418FE2150D6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D2-4B8D-96C4-418FE2150D6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D2-4B8D-96C4-418FE2150D6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D2-4B8D-96C4-418FE2150D6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D2-4B8D-96C4-418FE2150D6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D2-4B8D-96C4-418FE2150D6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D2-4B8D-96C4-418FE2150D6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D2-4B8D-96C4-418FE2150D6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D2-4B8D-96C4-418FE2150D67}"/>
              </c:ext>
            </c:extLst>
          </c:dPt>
          <c:cat>
            <c:strRef>
              <c:f>'Viajeros entr evol mensu TF'!$B$75:$B$86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TF'!$N$75:$N$87</c:f>
              <c:numCache>
                <c:formatCode>0.0%</c:formatCode>
                <c:ptCount val="13"/>
                <c:pt idx="0">
                  <c:v>-9.3587842846552971E-2</c:v>
                </c:pt>
                <c:pt idx="1">
                  <c:v>0.21648044692737423</c:v>
                </c:pt>
                <c:pt idx="2">
                  <c:v>0.34230898687310662</c:v>
                </c:pt>
                <c:pt idx="3">
                  <c:v>0.41890756302521015</c:v>
                </c:pt>
                <c:pt idx="4">
                  <c:v>0.66378397458524541</c:v>
                </c:pt>
                <c:pt idx="5">
                  <c:v>0.21355516159825449</c:v>
                </c:pt>
                <c:pt idx="12">
                  <c:v>0.29127209827318312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ED2-4B8D-96C4-418FE2150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1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0E4-4DA9-8BAE-13BBE6066D4E}"/>
              </c:ext>
            </c:extLst>
          </c:dPt>
          <c:val>
            <c:numRef>
              <c:f>'Pernocta evol mensu TF cat'!$I$31:$I$43</c:f>
              <c:numCache>
                <c:formatCode>#,##0</c:formatCode>
                <c:ptCount val="13"/>
                <c:pt idx="0">
                  <c:v>59578</c:v>
                </c:pt>
                <c:pt idx="1">
                  <c:v>52194</c:v>
                </c:pt>
                <c:pt idx="2">
                  <c:v>58354</c:v>
                </c:pt>
                <c:pt idx="3">
                  <c:v>42717</c:v>
                </c:pt>
                <c:pt idx="4">
                  <c:v>42611</c:v>
                </c:pt>
                <c:pt idx="5">
                  <c:v>38639</c:v>
                </c:pt>
                <c:pt idx="6">
                  <c:v>40407</c:v>
                </c:pt>
                <c:pt idx="7">
                  <c:v>43373</c:v>
                </c:pt>
                <c:pt idx="8">
                  <c:v>40151</c:v>
                </c:pt>
                <c:pt idx="9">
                  <c:v>49321</c:v>
                </c:pt>
                <c:pt idx="10">
                  <c:v>55991</c:v>
                </c:pt>
                <c:pt idx="11">
                  <c:v>53126</c:v>
                </c:pt>
                <c:pt idx="12">
                  <c:v>576462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0E4-4DA9-8BAE-13BBE6066D4E}"/>
            </c:ext>
          </c:extLst>
        </c:ser>
        <c:ser>
          <c:idx val="0"/>
          <c:order val="2"/>
          <c:tx>
            <c:strRef>
              <c:f>'Pernocta evol mensu TF cat'!$K$29:$L$29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0E4-4DA9-8BAE-13BBE6066D4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cat'!$K$31:$K$43</c:f>
              <c:numCache>
                <c:formatCode>#,##0</c:formatCode>
                <c:ptCount val="13"/>
                <c:pt idx="0">
                  <c:v>62651</c:v>
                </c:pt>
                <c:pt idx="1">
                  <c:v>55957</c:v>
                </c:pt>
                <c:pt idx="2">
                  <c:v>58643</c:v>
                </c:pt>
                <c:pt idx="3">
                  <c:v>46133</c:v>
                </c:pt>
                <c:pt idx="4">
                  <c:v>38316</c:v>
                </c:pt>
                <c:pt idx="5">
                  <c:v>40074</c:v>
                </c:pt>
                <c:pt idx="6">
                  <c:v>45242</c:v>
                </c:pt>
                <c:pt idx="7">
                  <c:v>42595</c:v>
                </c:pt>
                <c:pt idx="8">
                  <c:v>43154</c:v>
                </c:pt>
                <c:pt idx="9">
                  <c:v>43124</c:v>
                </c:pt>
                <c:pt idx="10">
                  <c:v>53169</c:v>
                </c:pt>
                <c:pt idx="11">
                  <c:v>55215</c:v>
                </c:pt>
                <c:pt idx="12">
                  <c:v>584273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0E4-4DA9-8BAE-13BBE6066D4E}"/>
            </c:ext>
          </c:extLst>
        </c:ser>
        <c:ser>
          <c:idx val="1"/>
          <c:order val="3"/>
          <c:tx>
            <c:strRef>
              <c:f>'Pernocta evol mensu TF cat'!$M$29:$N$29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0E4-4DA9-8BAE-13BBE6066D4E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0E4-4DA9-8BAE-13BBE6066D4E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cat'!$M$31:$M$43</c:f>
              <c:numCache>
                <c:formatCode>#,##0</c:formatCode>
                <c:ptCount val="13"/>
                <c:pt idx="0">
                  <c:v>57077</c:v>
                </c:pt>
                <c:pt idx="1">
                  <c:v>52638</c:v>
                </c:pt>
                <c:pt idx="2">
                  <c:v>56752</c:v>
                </c:pt>
                <c:pt idx="3">
                  <c:v>47123</c:v>
                </c:pt>
                <c:pt idx="4">
                  <c:v>45582</c:v>
                </c:pt>
                <c:pt idx="5">
                  <c:v>42497</c:v>
                </c:pt>
                <c:pt idx="12">
                  <c:v>301669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0E4-4DA9-8BAE-13BBE6066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0E4-4DA9-8BAE-13BBE6066D4E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cat'!$C$31:$C$43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46163</c:v>
                      </c:pt>
                      <c:pt idx="1">
                        <c:v>51846</c:v>
                      </c:pt>
                      <c:pt idx="2">
                        <c:v>20252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15225</c:v>
                      </c:pt>
                      <c:pt idx="8">
                        <c:v>14501</c:v>
                      </c:pt>
                      <c:pt idx="9">
                        <c:v>17308</c:v>
                      </c:pt>
                      <c:pt idx="10">
                        <c:v>14807</c:v>
                      </c:pt>
                      <c:pt idx="11">
                        <c:v>13546</c:v>
                      </c:pt>
                      <c:pt idx="12">
                        <c:v>216673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0E4-4DA9-8BAE-13BBE6066D4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0E4-4DA9-8BAE-13BBE6066D4E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0E4-4DA9-8BAE-13BBE6066D4E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0E4-4DA9-8BAE-13BBE6066D4E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E4-4DA9-8BAE-13BBE6066D4E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E4-4DA9-8BAE-13BBE6066D4E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0E4-4DA9-8BAE-13BBE6066D4E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0E4-4DA9-8BAE-13BBE6066D4E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0E4-4DA9-8BAE-13BBE6066D4E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0E4-4DA9-8BAE-13BBE6066D4E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0E4-4DA9-8BAE-13BBE6066D4E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0E4-4DA9-8BAE-13BBE6066D4E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0E4-4DA9-8BAE-13BBE6066D4E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0E4-4DA9-8BAE-13BBE6066D4E}"/>
              </c:ext>
            </c:extLst>
          </c:dPt>
          <c:cat>
            <c:strRef>
              <c:f>'Pernocta evol mensu TF cat'!$B$31:$B$42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cat'!$N$31:$N$43</c:f>
              <c:numCache>
                <c:formatCode>0.0%</c:formatCode>
                <c:ptCount val="13"/>
                <c:pt idx="0">
                  <c:v>-8.8969050773331615E-2</c:v>
                </c:pt>
                <c:pt idx="1">
                  <c:v>-5.9313401361759888E-2</c:v>
                </c:pt>
                <c:pt idx="2">
                  <c:v>-3.2245962860017352E-2</c:v>
                </c:pt>
                <c:pt idx="3">
                  <c:v>2.1459692627836979E-2</c:v>
                </c:pt>
                <c:pt idx="4">
                  <c:v>0.18963357344190412</c:v>
                </c:pt>
                <c:pt idx="5">
                  <c:v>6.0463143185107482E-2</c:v>
                </c:pt>
                <c:pt idx="12">
                  <c:v>-3.4794250001657367E-4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0E4-4DA9-8BAE-13BBE6066D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7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9068961352657"/>
          <c:y val="0.2044253438717967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ADF-4850-8297-071B54681CE6}"/>
              </c:ext>
            </c:extLst>
          </c:dPt>
          <c:val>
            <c:numRef>
              <c:f>'Pernocta evol mensu TF cat'!$I$53:$I$65</c:f>
              <c:numCache>
                <c:formatCode>#,##0</c:formatCode>
                <c:ptCount val="13"/>
                <c:pt idx="0">
                  <c:v>35523</c:v>
                </c:pt>
                <c:pt idx="1">
                  <c:v>32889</c:v>
                </c:pt>
                <c:pt idx="2">
                  <c:v>34565</c:v>
                </c:pt>
                <c:pt idx="3">
                  <c:v>27273</c:v>
                </c:pt>
                <c:pt idx="4">
                  <c:v>24835</c:v>
                </c:pt>
                <c:pt idx="5">
                  <c:v>22412</c:v>
                </c:pt>
                <c:pt idx="6">
                  <c:v>26095</c:v>
                </c:pt>
                <c:pt idx="7">
                  <c:v>29282</c:v>
                </c:pt>
                <c:pt idx="8">
                  <c:v>26434</c:v>
                </c:pt>
                <c:pt idx="9">
                  <c:v>31067</c:v>
                </c:pt>
                <c:pt idx="10">
                  <c:v>34767</c:v>
                </c:pt>
                <c:pt idx="11">
                  <c:v>32286</c:v>
                </c:pt>
                <c:pt idx="12">
                  <c:v>357428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DF-4850-8297-071B54681CE6}"/>
            </c:ext>
          </c:extLst>
        </c:ser>
        <c:ser>
          <c:idx val="0"/>
          <c:order val="2"/>
          <c:tx>
            <c:strRef>
              <c:f>'Pernocta evol mensu TF cat'!$K$51:$L$51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ADF-4850-8297-071B54681CE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cat'!$K$53:$K$65</c:f>
              <c:numCache>
                <c:formatCode>#,##0</c:formatCode>
                <c:ptCount val="13"/>
                <c:pt idx="0">
                  <c:v>36719</c:v>
                </c:pt>
                <c:pt idx="1">
                  <c:v>33731</c:v>
                </c:pt>
                <c:pt idx="2">
                  <c:v>33512</c:v>
                </c:pt>
                <c:pt idx="3">
                  <c:v>28433</c:v>
                </c:pt>
                <c:pt idx="4">
                  <c:v>22675</c:v>
                </c:pt>
                <c:pt idx="5">
                  <c:v>24289</c:v>
                </c:pt>
                <c:pt idx="6">
                  <c:v>28719</c:v>
                </c:pt>
                <c:pt idx="7">
                  <c:v>30070</c:v>
                </c:pt>
                <c:pt idx="8">
                  <c:v>29036</c:v>
                </c:pt>
                <c:pt idx="9">
                  <c:v>29987</c:v>
                </c:pt>
                <c:pt idx="10">
                  <c:v>36706</c:v>
                </c:pt>
                <c:pt idx="11">
                  <c:v>37306</c:v>
                </c:pt>
                <c:pt idx="12">
                  <c:v>371183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ADF-4850-8297-071B54681CE6}"/>
            </c:ext>
          </c:extLst>
        </c:ser>
        <c:ser>
          <c:idx val="1"/>
          <c:order val="3"/>
          <c:tx>
            <c:strRef>
              <c:f>'Pernocta evol mensu TF cat'!$M$51:$N$51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ADF-4850-8297-071B54681CE6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1ADF-4850-8297-071B54681CE6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cat'!$M$53:$M$65</c:f>
              <c:numCache>
                <c:formatCode>#,##0</c:formatCode>
                <c:ptCount val="13"/>
                <c:pt idx="0">
                  <c:v>39716</c:v>
                </c:pt>
                <c:pt idx="1">
                  <c:v>36223</c:v>
                </c:pt>
                <c:pt idx="2">
                  <c:v>38616</c:v>
                </c:pt>
                <c:pt idx="3">
                  <c:v>32762</c:v>
                </c:pt>
                <c:pt idx="4">
                  <c:v>31774</c:v>
                </c:pt>
                <c:pt idx="5">
                  <c:v>29665</c:v>
                </c:pt>
                <c:pt idx="12">
                  <c:v>208756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ADF-4850-8297-071B54681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1ADF-4850-8297-071B54681CE6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cat'!$C$53:$C$65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24068</c:v>
                      </c:pt>
                      <c:pt idx="1">
                        <c:v>26644</c:v>
                      </c:pt>
                      <c:pt idx="2">
                        <c:v>11112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8166</c:v>
                      </c:pt>
                      <c:pt idx="8">
                        <c:v>7660</c:v>
                      </c:pt>
                      <c:pt idx="9">
                        <c:v>8994</c:v>
                      </c:pt>
                      <c:pt idx="10">
                        <c:v>8059</c:v>
                      </c:pt>
                      <c:pt idx="11">
                        <c:v>7306</c:v>
                      </c:pt>
                      <c:pt idx="12">
                        <c:v>117055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1ADF-4850-8297-071B54681CE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ADF-4850-8297-071B54681CE6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ADF-4850-8297-071B54681CE6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ADF-4850-8297-071B54681CE6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ADF-4850-8297-071B54681CE6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ADF-4850-8297-071B54681CE6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ADF-4850-8297-071B54681CE6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ADF-4850-8297-071B54681CE6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ADF-4850-8297-071B54681CE6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ADF-4850-8297-071B54681CE6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ADF-4850-8297-071B54681CE6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ADF-4850-8297-071B54681CE6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ADF-4850-8297-071B54681CE6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ADF-4850-8297-071B54681CE6}"/>
              </c:ext>
            </c:extLst>
          </c:dPt>
          <c:cat>
            <c:strRef>
              <c:f>'Pernocta evol mensu TF cat'!$B$53:$B$64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cat'!$N$53:$N$65</c:f>
              <c:numCache>
                <c:formatCode>0.0%</c:formatCode>
                <c:ptCount val="13"/>
                <c:pt idx="0">
                  <c:v>8.1619869822162849E-2</c:v>
                </c:pt>
                <c:pt idx="1">
                  <c:v>7.3878627968337662E-2</c:v>
                </c:pt>
                <c:pt idx="2">
                  <c:v>0.15230365242301258</c:v>
                </c:pt>
                <c:pt idx="3">
                  <c:v>0.15225266415784477</c:v>
                </c:pt>
                <c:pt idx="4">
                  <c:v>0.40127894156560084</c:v>
                </c:pt>
                <c:pt idx="5">
                  <c:v>0.22133476059121415</c:v>
                </c:pt>
                <c:pt idx="12">
                  <c:v>0.16390033396707171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ADF-4850-8297-071B54681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'Pernocta evol mensu TF cat'!$I$73:$J$73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69E-4C36-9A9F-1A35548EA053}"/>
              </c:ext>
            </c:extLst>
          </c:dPt>
          <c:val>
            <c:numRef>
              <c:f>'Pernocta evol mensu TF cat'!$I$75:$I$87</c:f>
              <c:numCache>
                <c:formatCode>#,##0</c:formatCode>
                <c:ptCount val="13"/>
                <c:pt idx="0">
                  <c:v>24055</c:v>
                </c:pt>
                <c:pt idx="1">
                  <c:v>19305</c:v>
                </c:pt>
                <c:pt idx="2">
                  <c:v>23789</c:v>
                </c:pt>
                <c:pt idx="3">
                  <c:v>15444</c:v>
                </c:pt>
                <c:pt idx="4">
                  <c:v>17776</c:v>
                </c:pt>
                <c:pt idx="5">
                  <c:v>16227</c:v>
                </c:pt>
                <c:pt idx="6">
                  <c:v>14312</c:v>
                </c:pt>
                <c:pt idx="7">
                  <c:v>14091</c:v>
                </c:pt>
                <c:pt idx="8">
                  <c:v>13717</c:v>
                </c:pt>
                <c:pt idx="9">
                  <c:v>18254</c:v>
                </c:pt>
                <c:pt idx="10">
                  <c:v>21224</c:v>
                </c:pt>
                <c:pt idx="11">
                  <c:v>20840</c:v>
                </c:pt>
                <c:pt idx="12">
                  <c:v>219034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9E-4C36-9A9F-1A35548EA053}"/>
            </c:ext>
          </c:extLst>
        </c:ser>
        <c:ser>
          <c:idx val="0"/>
          <c:order val="2"/>
          <c:tx>
            <c:strRef>
              <c:f>'Pernocta evol mensu TF cat'!$K$73:$L$73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69E-4C36-9A9F-1A35548EA05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cat'!$K$75:$K$87</c:f>
              <c:numCache>
                <c:formatCode>#,##0</c:formatCode>
                <c:ptCount val="13"/>
                <c:pt idx="0">
                  <c:v>25932</c:v>
                </c:pt>
                <c:pt idx="1">
                  <c:v>22226</c:v>
                </c:pt>
                <c:pt idx="2">
                  <c:v>25131</c:v>
                </c:pt>
                <c:pt idx="3">
                  <c:v>17700</c:v>
                </c:pt>
                <c:pt idx="4">
                  <c:v>15641</c:v>
                </c:pt>
                <c:pt idx="5">
                  <c:v>15785</c:v>
                </c:pt>
                <c:pt idx="6">
                  <c:v>16523</c:v>
                </c:pt>
                <c:pt idx="7">
                  <c:v>12525</c:v>
                </c:pt>
                <c:pt idx="8">
                  <c:v>14118</c:v>
                </c:pt>
                <c:pt idx="9">
                  <c:v>13137</c:v>
                </c:pt>
                <c:pt idx="10">
                  <c:v>16463</c:v>
                </c:pt>
                <c:pt idx="11">
                  <c:v>17909</c:v>
                </c:pt>
                <c:pt idx="12">
                  <c:v>213090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69E-4C36-9A9F-1A35548EA053}"/>
            </c:ext>
          </c:extLst>
        </c:ser>
        <c:ser>
          <c:idx val="1"/>
          <c:order val="3"/>
          <c:tx>
            <c:strRef>
              <c:f>'Pernocta evol mensu TF cat'!$M$73:$N$73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69E-4C36-9A9F-1A35548EA053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69E-4C36-9A9F-1A35548EA053}"/>
              </c:ext>
            </c:extLst>
          </c:dPt>
          <c:cat>
            <c:strRef>
              <c:f>'Pernocta evol mensu TF cat'!$A$9:$A$21</c:f>
              <c:strCache>
                <c:ptCount val="12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</c:strCache>
            </c:strRef>
          </c:cat>
          <c:val>
            <c:numRef>
              <c:f>'Pernocta evol mensu TF cat'!$M$75:$M$87</c:f>
              <c:numCache>
                <c:formatCode>#,##0</c:formatCode>
                <c:ptCount val="13"/>
                <c:pt idx="0">
                  <c:v>17361</c:v>
                </c:pt>
                <c:pt idx="1">
                  <c:v>16415</c:v>
                </c:pt>
                <c:pt idx="2">
                  <c:v>18136</c:v>
                </c:pt>
                <c:pt idx="3">
                  <c:v>14361</c:v>
                </c:pt>
                <c:pt idx="4">
                  <c:v>13808</c:v>
                </c:pt>
                <c:pt idx="5">
                  <c:v>12832</c:v>
                </c:pt>
                <c:pt idx="12">
                  <c:v>92913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69E-4C36-9A9F-1A35548EA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'Pernocta evol mensu TF cat'!$C$73:$D$73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69E-4C36-9A9F-1A35548EA053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'Pernocta evol mensu TF cat'!$A$9:$A$21</c15:sqref>
                        </c15:formulaRef>
                      </c:ext>
                    </c:extLst>
                    <c:strCache>
                      <c:ptCount val="12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'Pernocta evol mensu TF cat'!$C$75:$C$87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22095</c:v>
                      </c:pt>
                      <c:pt idx="1">
                        <c:v>25202</c:v>
                      </c:pt>
                      <c:pt idx="2">
                        <c:v>9140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7059</c:v>
                      </c:pt>
                      <c:pt idx="8">
                        <c:v>6841</c:v>
                      </c:pt>
                      <c:pt idx="9">
                        <c:v>8314</c:v>
                      </c:pt>
                      <c:pt idx="10">
                        <c:v>6748</c:v>
                      </c:pt>
                      <c:pt idx="11">
                        <c:v>6240</c:v>
                      </c:pt>
                      <c:pt idx="12">
                        <c:v>99618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69E-4C36-9A9F-1A35548EA05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'Pernocta evol mensu TF cat'!$N$74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69E-4C36-9A9F-1A35548EA053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69E-4C36-9A9F-1A35548EA053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69E-4C36-9A9F-1A35548EA053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69E-4C36-9A9F-1A35548EA053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69E-4C36-9A9F-1A35548EA053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69E-4C36-9A9F-1A35548EA053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69E-4C36-9A9F-1A35548EA053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69E-4C36-9A9F-1A35548EA053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69E-4C36-9A9F-1A35548EA053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69E-4C36-9A9F-1A35548EA053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69E-4C36-9A9F-1A35548EA053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69E-4C36-9A9F-1A35548EA053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69E-4C36-9A9F-1A35548EA053}"/>
              </c:ext>
            </c:extLst>
          </c:dPt>
          <c:cat>
            <c:strRef>
              <c:f>'Pernocta evol mensu TF cat'!$B$75:$B$86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'Pernocta evol mensu TF cat'!$N$75:$N$87</c:f>
              <c:numCache>
                <c:formatCode>0.0%</c:formatCode>
                <c:ptCount val="13"/>
                <c:pt idx="0">
                  <c:v>-0.33051827857473393</c:v>
                </c:pt>
                <c:pt idx="1">
                  <c:v>-0.26145055340592094</c:v>
                </c:pt>
                <c:pt idx="2">
                  <c:v>-0.27834149058931201</c:v>
                </c:pt>
                <c:pt idx="3">
                  <c:v>-0.18864406779661014</c:v>
                </c:pt>
                <c:pt idx="4">
                  <c:v>-0.11719199539671377</c:v>
                </c:pt>
                <c:pt idx="5">
                  <c:v>-0.18707633829585046</c:v>
                </c:pt>
                <c:pt idx="12">
                  <c:v>-0.24099987746599683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69E-4C36-9A9F-1A35548EA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8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DA9-4F20-A225-DC9F9F7F0D2B}"/>
              </c:ext>
            </c:extLst>
          </c:dPt>
          <c:val>
            <c:numRef>
              <c:f>'EM evol menusual lugar resd'!$I$9:$I$21</c:f>
              <c:numCache>
                <c:formatCode>0.00</c:formatCode>
                <c:ptCount val="13"/>
                <c:pt idx="0">
                  <c:v>2.5235291626074803</c:v>
                </c:pt>
                <c:pt idx="1">
                  <c:v>2.2917233809001099</c:v>
                </c:pt>
                <c:pt idx="2">
                  <c:v>2.3180265353142131</c:v>
                </c:pt>
                <c:pt idx="3">
                  <c:v>2.2301869061292678</c:v>
                </c:pt>
                <c:pt idx="4">
                  <c:v>2.3830322688887646</c:v>
                </c:pt>
                <c:pt idx="5">
                  <c:v>2.1486403825835509</c:v>
                </c:pt>
                <c:pt idx="6">
                  <c:v>2.4037477691850091</c:v>
                </c:pt>
                <c:pt idx="7">
                  <c:v>2.8928833455612621</c:v>
                </c:pt>
                <c:pt idx="8">
                  <c:v>2.5199899579489111</c:v>
                </c:pt>
                <c:pt idx="9">
                  <c:v>2.3996983408748114</c:v>
                </c:pt>
                <c:pt idx="10">
                  <c:v>2.3657835805129506</c:v>
                </c:pt>
                <c:pt idx="11">
                  <c:v>2.5818146474218788</c:v>
                </c:pt>
                <c:pt idx="12">
                  <c:v>2.410875374829053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A9-4F20-A225-DC9F9F7F0D2B}"/>
            </c:ext>
          </c:extLst>
        </c:ser>
        <c:ser>
          <c:idx val="0"/>
          <c:order val="2"/>
          <c:tx>
            <c:strRef>
              <c:f>'EM evol menusual lugar resd'!$K$7:$L$7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DA9-4F20-A225-DC9F9F7F0D2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resd'!$K$9:$K$21</c:f>
              <c:numCache>
                <c:formatCode>0.00</c:formatCode>
                <c:ptCount val="13"/>
                <c:pt idx="0">
                  <c:v>2.6250052373570201</c:v>
                </c:pt>
                <c:pt idx="1">
                  <c:v>2.4732375690607733</c:v>
                </c:pt>
                <c:pt idx="2">
                  <c:v>2.5529145444255801</c:v>
                </c:pt>
                <c:pt idx="3">
                  <c:v>2.4243523043775292</c:v>
                </c:pt>
                <c:pt idx="4">
                  <c:v>2.197144331670394</c:v>
                </c:pt>
                <c:pt idx="5">
                  <c:v>2.0572924688125673</c:v>
                </c:pt>
                <c:pt idx="6">
                  <c:v>2.0914386094674557</c:v>
                </c:pt>
                <c:pt idx="7">
                  <c:v>2.8021182816919938</c:v>
                </c:pt>
                <c:pt idx="8">
                  <c:v>2.2043213975583593</c:v>
                </c:pt>
                <c:pt idx="9">
                  <c:v>2.2301287686818019</c:v>
                </c:pt>
                <c:pt idx="10">
                  <c:v>2.1195535180386686</c:v>
                </c:pt>
                <c:pt idx="11">
                  <c:v>2.241869341020748</c:v>
                </c:pt>
                <c:pt idx="12">
                  <c:v>2.328977841201255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DA9-4F20-A225-DC9F9F7F0D2B}"/>
            </c:ext>
          </c:extLst>
        </c:ser>
        <c:ser>
          <c:idx val="1"/>
          <c:order val="3"/>
          <c:tx>
            <c:strRef>
              <c:f>'EM evol menusual lugar resd'!$M$7:$N$7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DA9-4F20-A225-DC9F9F7F0D2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DA9-4F20-A225-DC9F9F7F0D2B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resd'!$M$9:$M$21</c:f>
              <c:numCache>
                <c:formatCode>0.00</c:formatCode>
                <c:ptCount val="13"/>
                <c:pt idx="0">
                  <c:v>2.3200146329566702</c:v>
                </c:pt>
                <c:pt idx="1">
                  <c:v>2.1117708416914067</c:v>
                </c:pt>
                <c:pt idx="2">
                  <c:v>2.1110739128817468</c:v>
                </c:pt>
                <c:pt idx="3">
                  <c:v>2.2593373927218678</c:v>
                </c:pt>
                <c:pt idx="4">
                  <c:v>2.0151193633952253</c:v>
                </c:pt>
                <c:pt idx="5">
                  <c:v>2.0359794950414409</c:v>
                </c:pt>
                <c:pt idx="12">
                  <c:v>2.1431291337799534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DA9-4F20-A225-DC9F9F7F0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DA9-4F20-A225-DC9F9F7F0D2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2.2460468058191019</c:v>
                      </c:pt>
                      <c:pt idx="1">
                        <c:v>2.2190549563430921</c:v>
                      </c:pt>
                      <c:pt idx="2">
                        <c:v>2.2663384064458372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2.2469008264462809</c:v>
                      </c:pt>
                      <c:pt idx="8">
                        <c:v>1.9535228344335174</c:v>
                      </c:pt>
                      <c:pt idx="9">
                        <c:v>1.8614755861475587</c:v>
                      </c:pt>
                      <c:pt idx="10">
                        <c:v>1.8271224086870681</c:v>
                      </c:pt>
                      <c:pt idx="11">
                        <c:v>1.945705257110026</c:v>
                      </c:pt>
                      <c:pt idx="12">
                        <c:v>2.0931353607171839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DA9-4F20-A225-DC9F9F7F0D2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DA9-4F20-A225-DC9F9F7F0D2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DA9-4F20-A225-DC9F9F7F0D2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DA9-4F20-A225-DC9F9F7F0D2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A9-4F20-A225-DC9F9F7F0D2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A9-4F20-A225-DC9F9F7F0D2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A9-4F20-A225-DC9F9F7F0D2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A9-4F20-A225-DC9F9F7F0D2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A9-4F20-A225-DC9F9F7F0D2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A9-4F20-A225-DC9F9F7F0D2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A9-4F20-A225-DC9F9F7F0D2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A9-4F20-A225-DC9F9F7F0D2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A9-4F20-A225-DC9F9F7F0D2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DA9-4F20-A225-DC9F9F7F0D2B}"/>
              </c:ext>
            </c:extLst>
          </c:dPt>
          <c:cat>
            <c:strRef>
              <c:f>'EM evol menusual lugar resd'!$B$9:$B$20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resd'!$N$9:$N$21</c:f>
              <c:numCache>
                <c:formatCode>0.00</c:formatCode>
                <c:ptCount val="13"/>
                <c:pt idx="0">
                  <c:v>-0.30499060440034986</c:v>
                </c:pt>
                <c:pt idx="1">
                  <c:v>-0.36146672736936658</c:v>
                </c:pt>
                <c:pt idx="2">
                  <c:v>-0.44184063154383324</c:v>
                </c:pt>
                <c:pt idx="3">
                  <c:v>-0.1650149116556614</c:v>
                </c:pt>
                <c:pt idx="4">
                  <c:v>-0.18202496827516867</c:v>
                </c:pt>
                <c:pt idx="5">
                  <c:v>-2.1312973771126398E-2</c:v>
                </c:pt>
                <c:pt idx="12">
                  <c:v>-0.2631702043908466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DA9-4F20-A225-DC9F9F7F0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583-4416-BB37-B3BF7D8D4C61}"/>
              </c:ext>
            </c:extLst>
          </c:dPt>
          <c:val>
            <c:numRef>
              <c:f>'EM evol menusual lugar resd'!$I$31:$I$43</c:f>
              <c:numCache>
                <c:formatCode>0.00</c:formatCode>
                <c:ptCount val="13"/>
                <c:pt idx="0">
                  <c:v>2.0700344431687716</c:v>
                </c:pt>
                <c:pt idx="1">
                  <c:v>1.9573781345692296</c:v>
                </c:pt>
                <c:pt idx="2">
                  <c:v>1.9600780234070221</c:v>
                </c:pt>
                <c:pt idx="3">
                  <c:v>2.0468622656886715</c:v>
                </c:pt>
                <c:pt idx="4">
                  <c:v>2.1347812925684879</c:v>
                </c:pt>
                <c:pt idx="5">
                  <c:v>1.9800244910454614</c:v>
                </c:pt>
                <c:pt idx="6">
                  <c:v>2.1384838407094739</c:v>
                </c:pt>
                <c:pt idx="7">
                  <c:v>2.5128088868737248</c:v>
                </c:pt>
                <c:pt idx="8">
                  <c:v>2.0412908930150309</c:v>
                </c:pt>
                <c:pt idx="9">
                  <c:v>2.0386764073914914</c:v>
                </c:pt>
                <c:pt idx="10">
                  <c:v>1.9529025191675795</c:v>
                </c:pt>
                <c:pt idx="11">
                  <c:v>2.1226911666188153</c:v>
                </c:pt>
                <c:pt idx="12">
                  <c:v>2.0648091238134261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83-4416-BB37-B3BF7D8D4C61}"/>
            </c:ext>
          </c:extLst>
        </c:ser>
        <c:ser>
          <c:idx val="0"/>
          <c:order val="2"/>
          <c:tx>
            <c:strRef>
              <c:f>'EM evol menusual lugar resd'!$K$29:$L$29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583-4416-BB37-B3BF7D8D4C6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resd'!$K$31:$K$43</c:f>
              <c:numCache>
                <c:formatCode>0.00</c:formatCode>
                <c:ptCount val="13"/>
                <c:pt idx="0">
                  <c:v>2.1160504201680674</c:v>
                </c:pt>
                <c:pt idx="1">
                  <c:v>2.0574074074074074</c:v>
                </c:pt>
                <c:pt idx="2">
                  <c:v>2.0040615480746702</c:v>
                </c:pt>
                <c:pt idx="3">
                  <c:v>1.924949290060852</c:v>
                </c:pt>
                <c:pt idx="4">
                  <c:v>1.9562742152289081</c:v>
                </c:pt>
                <c:pt idx="5">
                  <c:v>1.8968067226890757</c:v>
                </c:pt>
                <c:pt idx="6">
                  <c:v>1.8462907283549119</c:v>
                </c:pt>
                <c:pt idx="7">
                  <c:v>2.3323659034719983</c:v>
                </c:pt>
                <c:pt idx="8">
                  <c:v>1.8926924689115552</c:v>
                </c:pt>
                <c:pt idx="9">
                  <c:v>1.9117393011385944</c:v>
                </c:pt>
                <c:pt idx="10">
                  <c:v>1.9577701566807881</c:v>
                </c:pt>
                <c:pt idx="11">
                  <c:v>1.910672057365169</c:v>
                </c:pt>
                <c:pt idx="12">
                  <c:v>1.9697699372788473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583-4416-BB37-B3BF7D8D4C61}"/>
            </c:ext>
          </c:extLst>
        </c:ser>
        <c:ser>
          <c:idx val="1"/>
          <c:order val="3"/>
          <c:tx>
            <c:strRef>
              <c:f>'EM evol menusual lugar resd'!$M$29:$N$29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583-4416-BB37-B3BF7D8D4C6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3583-4416-BB37-B3BF7D8D4C61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resd'!$M$31:$M$43</c:f>
              <c:numCache>
                <c:formatCode>0.00</c:formatCode>
                <c:ptCount val="13"/>
                <c:pt idx="0">
                  <c:v>1.9402484055052032</c:v>
                </c:pt>
                <c:pt idx="1">
                  <c:v>1.7700534759358288</c:v>
                </c:pt>
                <c:pt idx="2">
                  <c:v>1.9781357882623705</c:v>
                </c:pt>
                <c:pt idx="3">
                  <c:v>2.0816009928637915</c:v>
                </c:pt>
                <c:pt idx="4">
                  <c:v>1.7977128187175448</c:v>
                </c:pt>
                <c:pt idx="5">
                  <c:v>1.8684021113243763</c:v>
                </c:pt>
                <c:pt idx="12">
                  <c:v>1.9001538899971502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583-4416-BB37-B3BF7D8D4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3583-4416-BB37-B3BF7D8D4C6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1.8484012667279599</c:v>
                      </c:pt>
                      <c:pt idx="1">
                        <c:v>1.9137733377006223</c:v>
                      </c:pt>
                      <c:pt idx="2">
                        <c:v>1.9234662887224134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2.3027194656488548</c:v>
                      </c:pt>
                      <c:pt idx="8">
                        <c:v>1.9130434782608696</c:v>
                      </c:pt>
                      <c:pt idx="9">
                        <c:v>1.8103602262578149</c:v>
                      </c:pt>
                      <c:pt idx="10">
                        <c:v>1.7299377061194576</c:v>
                      </c:pt>
                      <c:pt idx="11">
                        <c:v>1.7903041390349874</c:v>
                      </c:pt>
                      <c:pt idx="12">
                        <c:v>1.8931315067158241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3583-4416-BB37-B3BF7D8D4C6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resd'!$N$30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583-4416-BB37-B3BF7D8D4C6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583-4416-BB37-B3BF7D8D4C6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583-4416-BB37-B3BF7D8D4C6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583-4416-BB37-B3BF7D8D4C6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583-4416-BB37-B3BF7D8D4C6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583-4416-BB37-B3BF7D8D4C6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583-4416-BB37-B3BF7D8D4C6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583-4416-BB37-B3BF7D8D4C6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583-4416-BB37-B3BF7D8D4C6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583-4416-BB37-B3BF7D8D4C6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583-4416-BB37-B3BF7D8D4C6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583-4416-BB37-B3BF7D8D4C6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583-4416-BB37-B3BF7D8D4C61}"/>
              </c:ext>
            </c:extLst>
          </c:dPt>
          <c:cat>
            <c:strRef>
              <c:f>'EM evol menusual lugar resd'!$B$31:$B$42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resd'!$N$31:$N$43</c:f>
              <c:numCache>
                <c:formatCode>0.00</c:formatCode>
                <c:ptCount val="13"/>
                <c:pt idx="0">
                  <c:v>-0.17580201466286427</c:v>
                </c:pt>
                <c:pt idx="1">
                  <c:v>-0.28735393147157851</c:v>
                </c:pt>
                <c:pt idx="2">
                  <c:v>-2.592575981229972E-2</c:v>
                </c:pt>
                <c:pt idx="3">
                  <c:v>0.1566517028029395</c:v>
                </c:pt>
                <c:pt idx="4">
                  <c:v>-0.15856139651136325</c:v>
                </c:pt>
                <c:pt idx="5">
                  <c:v>-2.8404611364699406E-2</c:v>
                </c:pt>
                <c:pt idx="12">
                  <c:v>-8.8507763742133649E-2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583-4416-BB37-B3BF7D8D4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6E2-4726-872D-5B7AC31AE5C9}"/>
              </c:ext>
            </c:extLst>
          </c:dPt>
          <c:val>
            <c:numRef>
              <c:f>'EM evol menusual lugar resd'!$I$53:$I$65</c:f>
              <c:numCache>
                <c:formatCode>0.00</c:formatCode>
                <c:ptCount val="13"/>
                <c:pt idx="0">
                  <c:v>2.1622018348623855</c:v>
                </c:pt>
                <c:pt idx="1">
                  <c:v>2.155624515128006</c:v>
                </c:pt>
                <c:pt idx="2">
                  <c:v>2.0558081382132305</c:v>
                </c:pt>
                <c:pt idx="3">
                  <c:v>2.1764973464746018</c:v>
                </c:pt>
                <c:pt idx="4">
                  <c:v>2.4189012900420352</c:v>
                </c:pt>
                <c:pt idx="5">
                  <c:v>2.183712967098407</c:v>
                </c:pt>
                <c:pt idx="6">
                  <c:v>2.2743093922651934</c:v>
                </c:pt>
                <c:pt idx="7">
                  <c:v>2.771685761047463</c:v>
                </c:pt>
                <c:pt idx="8">
                  <c:v>2.4285934846379496</c:v>
                </c:pt>
                <c:pt idx="9">
                  <c:v>2.3541991219374028</c:v>
                </c:pt>
                <c:pt idx="10">
                  <c:v>2.0985071117902905</c:v>
                </c:pt>
                <c:pt idx="11">
                  <c:v>2.2368119266055047</c:v>
                </c:pt>
                <c:pt idx="12">
                  <c:v>2.2587256720915465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6E2-4726-872D-5B7AC31AE5C9}"/>
            </c:ext>
          </c:extLst>
        </c:ser>
        <c:ser>
          <c:idx val="0"/>
          <c:order val="2"/>
          <c:tx>
            <c:strRef>
              <c:f>'EM evol menusual lugar resd'!$K$51:$L$51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6E2-4726-872D-5B7AC31AE5C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resd'!$K$53:$K$65</c:f>
              <c:numCache>
                <c:formatCode>0.00</c:formatCode>
                <c:ptCount val="13"/>
                <c:pt idx="0">
                  <c:v>2.2942804428044279</c:v>
                </c:pt>
                <c:pt idx="1">
                  <c:v>2.2830518345952244</c:v>
                </c:pt>
                <c:pt idx="2">
                  <c:v>2.1673225477335665</c:v>
                </c:pt>
                <c:pt idx="3">
                  <c:v>1.9390554298642535</c:v>
                </c:pt>
                <c:pt idx="4">
                  <c:v>2.1439621830683282</c:v>
                </c:pt>
                <c:pt idx="5">
                  <c:v>2.0647043224608859</c:v>
                </c:pt>
                <c:pt idx="6">
                  <c:v>2.0339616762735631</c:v>
                </c:pt>
                <c:pt idx="7">
                  <c:v>2.4482845610494448</c:v>
                </c:pt>
                <c:pt idx="8">
                  <c:v>2.1919419822723611</c:v>
                </c:pt>
                <c:pt idx="9">
                  <c:v>2.0768831842344095</c:v>
                </c:pt>
                <c:pt idx="10">
                  <c:v>2.198003900424458</c:v>
                </c:pt>
                <c:pt idx="11">
                  <c:v>2.2313143242787246</c:v>
                </c:pt>
                <c:pt idx="12">
                  <c:v>2.1602515692124844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E2-4726-872D-5B7AC31AE5C9}"/>
            </c:ext>
          </c:extLst>
        </c:ser>
        <c:ser>
          <c:idx val="1"/>
          <c:order val="3"/>
          <c:tx>
            <c:strRef>
              <c:f>'EM evol menusual lugar resd'!$M$51:$N$51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6E2-4726-872D-5B7AC31AE5C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56E2-4726-872D-5B7AC31AE5C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resd'!$M$53:$M$65</c:f>
              <c:numCache>
                <c:formatCode>0.00</c:formatCode>
                <c:ptCount val="13"/>
                <c:pt idx="0">
                  <c:v>2.1155871886120998</c:v>
                </c:pt>
                <c:pt idx="1">
                  <c:v>1.9233066377087009</c:v>
                </c:pt>
                <c:pt idx="2">
                  <c:v>2.2431515783981215</c:v>
                </c:pt>
                <c:pt idx="3">
                  <c:v>2.4042033235581624</c:v>
                </c:pt>
                <c:pt idx="4">
                  <c:v>2.0404564315352696</c:v>
                </c:pt>
                <c:pt idx="5">
                  <c:v>2.0485012221793388</c:v>
                </c:pt>
                <c:pt idx="12">
                  <c:v>2.1208992468121153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6E2-4726-872D-5B7AC31AE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56E2-4726-872D-5B7AC31AE5C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1.9997893406361913</c:v>
                      </c:pt>
                      <c:pt idx="1">
                        <c:v>2.134935304990758</c:v>
                      </c:pt>
                      <c:pt idx="2">
                        <c:v>2.0949742777997624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2.5827193569993301</c:v>
                      </c:pt>
                      <c:pt idx="8">
                        <c:v>2.0682613768961495</c:v>
                      </c:pt>
                      <c:pt idx="9">
                        <c:v>1.9571865443425076</c:v>
                      </c:pt>
                      <c:pt idx="10">
                        <c:v>1.8892845581094204</c:v>
                      </c:pt>
                      <c:pt idx="11">
                        <c:v>2.0748489074848906</c:v>
                      </c:pt>
                      <c:pt idx="12">
                        <c:v>2.1074008288928359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56E2-4726-872D-5B7AC31AE5C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resd'!$N$52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6E2-4726-872D-5B7AC31AE5C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6E2-4726-872D-5B7AC31AE5C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6E2-4726-872D-5B7AC31AE5C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6E2-4726-872D-5B7AC31AE5C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6E2-4726-872D-5B7AC31AE5C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E2-4726-872D-5B7AC31AE5C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E2-4726-872D-5B7AC31AE5C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E2-4726-872D-5B7AC31AE5C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E2-4726-872D-5B7AC31AE5C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E2-4726-872D-5B7AC31AE5C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E2-4726-872D-5B7AC31AE5C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E2-4726-872D-5B7AC31AE5C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E2-4726-872D-5B7AC31AE5C9}"/>
              </c:ext>
            </c:extLst>
          </c:dPt>
          <c:cat>
            <c:strRef>
              <c:f>'EM evol menusual lugar resd'!$B$53:$B$64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resd'!$N$53:$N$65</c:f>
              <c:numCache>
                <c:formatCode>0.00</c:formatCode>
                <c:ptCount val="13"/>
                <c:pt idx="0">
                  <c:v>-0.17869325419232807</c:v>
                </c:pt>
                <c:pt idx="1">
                  <c:v>-0.35974519688652351</c:v>
                </c:pt>
                <c:pt idx="2">
                  <c:v>7.5829030664555042E-2</c:v>
                </c:pt>
                <c:pt idx="3">
                  <c:v>0.46514789369390885</c:v>
                </c:pt>
                <c:pt idx="4">
                  <c:v>-0.10350575153305863</c:v>
                </c:pt>
                <c:pt idx="5">
                  <c:v>-1.6203100281547034E-2</c:v>
                </c:pt>
                <c:pt idx="12">
                  <c:v>-2.4171041033346885E-2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6E2-4726-872D-5B7AC31AE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19C-4217-B8CC-B48E9EB76629}"/>
              </c:ext>
            </c:extLst>
          </c:dPt>
          <c:val>
            <c:numRef>
              <c:f>'EM evol menusual lugar resd'!$I$75:$I$87</c:f>
              <c:numCache>
                <c:formatCode>0.00</c:formatCode>
                <c:ptCount val="13"/>
                <c:pt idx="0">
                  <c:v>1.9696121551379449</c:v>
                </c:pt>
                <c:pt idx="1">
                  <c:v>1.7307555870876197</c:v>
                </c:pt>
                <c:pt idx="2">
                  <c:v>1.8321178972956549</c:v>
                </c:pt>
                <c:pt idx="3">
                  <c:v>1.8962114537444934</c:v>
                </c:pt>
                <c:pt idx="4">
                  <c:v>1.8243863816310373</c:v>
                </c:pt>
                <c:pt idx="5">
                  <c:v>1.7645298472200346</c:v>
                </c:pt>
                <c:pt idx="6">
                  <c:v>1.9193224871852017</c:v>
                </c:pt>
                <c:pt idx="7">
                  <c:v>2.1911540416878497</c:v>
                </c:pt>
                <c:pt idx="8">
                  <c:v>1.5222429133043658</c:v>
                </c:pt>
                <c:pt idx="9">
                  <c:v>1.7158382843066222</c:v>
                </c:pt>
                <c:pt idx="10">
                  <c:v>1.714148033924441</c:v>
                </c:pt>
                <c:pt idx="11">
                  <c:v>2.0082422848380297</c:v>
                </c:pt>
                <c:pt idx="12">
                  <c:v>1.8292826787253671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9C-4217-B8CC-B48E9EB76629}"/>
            </c:ext>
          </c:extLst>
        </c:ser>
        <c:ser>
          <c:idx val="0"/>
          <c:order val="2"/>
          <c:tx>
            <c:strRef>
              <c:f>'EM evol menusual lugar resd'!$K$73:$L$73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19C-4217-B8CC-B48E9EB7662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resd'!$K$75:$K$87</c:f>
              <c:numCache>
                <c:formatCode>0.00</c:formatCode>
                <c:ptCount val="13"/>
                <c:pt idx="0">
                  <c:v>1.9012231282431431</c:v>
                </c:pt>
                <c:pt idx="1">
                  <c:v>1.7482043096568236</c:v>
                </c:pt>
                <c:pt idx="2">
                  <c:v>1.8155503197576575</c:v>
                </c:pt>
                <c:pt idx="3">
                  <c:v>1.9039915966386554</c:v>
                </c:pt>
                <c:pt idx="4">
                  <c:v>1.7250264737027885</c:v>
                </c:pt>
                <c:pt idx="5">
                  <c:v>1.7241238238101733</c:v>
                </c:pt>
                <c:pt idx="6">
                  <c:v>1.72433691030573</c:v>
                </c:pt>
                <c:pt idx="7">
                  <c:v>2.2463008053942688</c:v>
                </c:pt>
                <c:pt idx="8">
                  <c:v>1.6637069922308545</c:v>
                </c:pt>
                <c:pt idx="9">
                  <c:v>1.6581043409000398</c:v>
                </c:pt>
                <c:pt idx="10">
                  <c:v>1.6174845628859278</c:v>
                </c:pt>
                <c:pt idx="11">
                  <c:v>1.6460595934280144</c:v>
                </c:pt>
                <c:pt idx="12">
                  <c:v>1.7667726571055375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19C-4217-B8CC-B48E9EB76629}"/>
            </c:ext>
          </c:extLst>
        </c:ser>
        <c:ser>
          <c:idx val="1"/>
          <c:order val="3"/>
          <c:tx>
            <c:strRef>
              <c:f>'EM evol menusual lugar resd'!$M$73:$N$73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19C-4217-B8CC-B48E9EB76629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19C-4217-B8CC-B48E9EB76629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resd'!$M$75:$M$87</c:f>
              <c:numCache>
                <c:formatCode>0.00</c:formatCode>
                <c:ptCount val="13"/>
                <c:pt idx="0">
                  <c:v>1.6884072786751176</c:v>
                </c:pt>
                <c:pt idx="1">
                  <c:v>1.5848778087584057</c:v>
                </c:pt>
                <c:pt idx="2">
                  <c:v>1.723420260782347</c:v>
                </c:pt>
                <c:pt idx="3">
                  <c:v>1.7884216760438258</c:v>
                </c:pt>
                <c:pt idx="4">
                  <c:v>1.5991301580566457</c:v>
                </c:pt>
                <c:pt idx="5">
                  <c:v>1.7110911338352623</c:v>
                </c:pt>
                <c:pt idx="12">
                  <c:v>1.6812278630460449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19C-4217-B8CC-B48E9EB76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19C-4217-B8CC-B48E9EB76629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1.7058706862356208</c:v>
                      </c:pt>
                      <c:pt idx="1">
                        <c:v>1.7035617313528191</c:v>
                      </c:pt>
                      <c:pt idx="2">
                        <c:v>1.7437810945273631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1.6094527363184079</c:v>
                      </c:pt>
                      <c:pt idx="8">
                        <c:v>1.6124293785310735</c:v>
                      </c:pt>
                      <c:pt idx="9">
                        <c:v>1.604151753758053</c:v>
                      </c:pt>
                      <c:pt idx="10">
                        <c:v>1.5221612494723511</c:v>
                      </c:pt>
                      <c:pt idx="11">
                        <c:v>1.5148514851485149</c:v>
                      </c:pt>
                      <c:pt idx="12">
                        <c:v>1.6326868410636537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19C-4217-B8CC-B48E9EB7662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resd'!$N$74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19C-4217-B8CC-B48E9EB76629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19C-4217-B8CC-B48E9EB76629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19C-4217-B8CC-B48E9EB76629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19C-4217-B8CC-B48E9EB76629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19C-4217-B8CC-B48E9EB76629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9C-4217-B8CC-B48E9EB76629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9C-4217-B8CC-B48E9EB76629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9C-4217-B8CC-B48E9EB76629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9C-4217-B8CC-B48E9EB76629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9C-4217-B8CC-B48E9EB76629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9C-4217-B8CC-B48E9EB76629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9C-4217-B8CC-B48E9EB76629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9C-4217-B8CC-B48E9EB76629}"/>
              </c:ext>
            </c:extLst>
          </c:dPt>
          <c:cat>
            <c:strRef>
              <c:f>'EM evol menusual lugar resd'!$B$75:$B$86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resd'!$N$75:$N$87</c:f>
              <c:numCache>
                <c:formatCode>0.00</c:formatCode>
                <c:ptCount val="13"/>
                <c:pt idx="0">
                  <c:v>-0.21281584956802546</c:v>
                </c:pt>
                <c:pt idx="1">
                  <c:v>-0.16332650089841794</c:v>
                </c:pt>
                <c:pt idx="2">
                  <c:v>-9.2130058975310458E-2</c:v>
                </c:pt>
                <c:pt idx="3">
                  <c:v>-0.11556992059482951</c:v>
                </c:pt>
                <c:pt idx="4">
                  <c:v>-0.12589631564614279</c:v>
                </c:pt>
                <c:pt idx="5">
                  <c:v>-1.3032689974910916E-2</c:v>
                </c:pt>
                <c:pt idx="12">
                  <c:v>-0.11562927143459079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19C-4217-B8CC-B48E9EB76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23A-4712-B975-2874DD7C8E74}"/>
              </c:ext>
            </c:extLst>
          </c:dPt>
          <c:val>
            <c:numRef>
              <c:f>'EM evol menusual lugar resd'!$I$97:$I$109</c:f>
              <c:numCache>
                <c:formatCode>0.00</c:formatCode>
                <c:ptCount val="13"/>
                <c:pt idx="0">
                  <c:v>2.883788097590636</c:v>
                </c:pt>
                <c:pt idx="1">
                  <c:v>2.6695660306771418</c:v>
                </c:pt>
                <c:pt idx="2">
                  <c:v>2.8801306922605678</c:v>
                </c:pt>
                <c:pt idx="3">
                  <c:v>2.5569436374201047</c:v>
                </c:pt>
                <c:pt idx="4">
                  <c:v>3.0859224341118492</c:v>
                </c:pt>
                <c:pt idx="5">
                  <c:v>2.596705308114704</c:v>
                </c:pt>
                <c:pt idx="6">
                  <c:v>3.0157387369663584</c:v>
                </c:pt>
                <c:pt idx="7">
                  <c:v>3.4362339977313239</c:v>
                </c:pt>
                <c:pt idx="8">
                  <c:v>3.6911096690460741</c:v>
                </c:pt>
                <c:pt idx="9">
                  <c:v>3.1644666970110755</c:v>
                </c:pt>
                <c:pt idx="10">
                  <c:v>2.9328118732450861</c:v>
                </c:pt>
                <c:pt idx="11">
                  <c:v>3.0554897314375986</c:v>
                </c:pt>
                <c:pt idx="12">
                  <c:v>2.9576495214665672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3A-4712-B975-2874DD7C8E74}"/>
            </c:ext>
          </c:extLst>
        </c:ser>
        <c:ser>
          <c:idx val="0"/>
          <c:order val="2"/>
          <c:tx>
            <c:strRef>
              <c:f>'EM evol menusual lugar resd'!$K$95:$L$95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23A-4712-B975-2874DD7C8E7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resd'!$K$97:$K$109</c:f>
              <c:numCache>
                <c:formatCode>0.00</c:formatCode>
                <c:ptCount val="13"/>
                <c:pt idx="0">
                  <c:v>3.1311105540235649</c:v>
                </c:pt>
                <c:pt idx="1">
                  <c:v>2.9329920893438808</c:v>
                </c:pt>
                <c:pt idx="2">
                  <c:v>3.2440007867820615</c:v>
                </c:pt>
                <c:pt idx="3">
                  <c:v>3.2453800194525497</c:v>
                </c:pt>
                <c:pt idx="4">
                  <c:v>2.832846410684474</c:v>
                </c:pt>
                <c:pt idx="5">
                  <c:v>2.5758036490008687</c:v>
                </c:pt>
                <c:pt idx="6">
                  <c:v>2.8402999062792875</c:v>
                </c:pt>
                <c:pt idx="7">
                  <c:v>3.5430654459138693</c:v>
                </c:pt>
                <c:pt idx="8">
                  <c:v>3.0518715561466845</c:v>
                </c:pt>
                <c:pt idx="9">
                  <c:v>2.8442896092093304</c:v>
                </c:pt>
                <c:pt idx="10">
                  <c:v>2.355100841981594</c:v>
                </c:pt>
                <c:pt idx="11">
                  <c:v>2.6187499999999999</c:v>
                </c:pt>
                <c:pt idx="12">
                  <c:v>2.9253379990456496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23A-4712-B975-2874DD7C8E74}"/>
            </c:ext>
          </c:extLst>
        </c:ser>
        <c:ser>
          <c:idx val="1"/>
          <c:order val="3"/>
          <c:tx>
            <c:strRef>
              <c:f>'EM evol menusual lugar resd'!$M$95:$N$95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23A-4712-B975-2874DD7C8E7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723A-4712-B975-2874DD7C8E7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resd'!$M$97:$M$109</c:f>
              <c:numCache>
                <c:formatCode>0.00</c:formatCode>
                <c:ptCount val="13"/>
                <c:pt idx="0">
                  <c:v>2.6767302538231119</c:v>
                </c:pt>
                <c:pt idx="1">
                  <c:v>2.5131739661490142</c:v>
                </c:pt>
                <c:pt idx="2">
                  <c:v>2.2960590694778045</c:v>
                </c:pt>
                <c:pt idx="3">
                  <c:v>2.5470182046453234</c:v>
                </c:pt>
                <c:pt idx="4">
                  <c:v>2.6949461777047983</c:v>
                </c:pt>
                <c:pt idx="5">
                  <c:v>2.7010235658176627</c:v>
                </c:pt>
                <c:pt idx="12">
                  <c:v>2.5450260200618446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23A-4712-B975-2874DD7C8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723A-4712-B975-2874DD7C8E7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resd'!$C$97:$C$109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2.6076737272389447</c:v>
                      </c:pt>
                      <c:pt idx="1">
                        <c:v>2.5533536585365852</c:v>
                      </c:pt>
                      <c:pt idx="2">
                        <c:v>2.6900175131348512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2.1563467492260062</c:v>
                      </c:pt>
                      <c:pt idx="8">
                        <c:v>2.0480898876404496</c:v>
                      </c:pt>
                      <c:pt idx="9">
                        <c:v>1.9945736434108527</c:v>
                      </c:pt>
                      <c:pt idx="10">
                        <c:v>2.0275888133030988</c:v>
                      </c:pt>
                      <c:pt idx="11">
                        <c:v>2.208188489764388</c:v>
                      </c:pt>
                      <c:pt idx="12">
                        <c:v>2.3867207056860176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723A-4712-B975-2874DD7C8E7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resd'!$N$96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23A-4712-B975-2874DD7C8E7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23A-4712-B975-2874DD7C8E7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23A-4712-B975-2874DD7C8E7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23A-4712-B975-2874DD7C8E7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3A-4712-B975-2874DD7C8E7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3A-4712-B975-2874DD7C8E7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3A-4712-B975-2874DD7C8E7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3A-4712-B975-2874DD7C8E7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3A-4712-B975-2874DD7C8E7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3A-4712-B975-2874DD7C8E7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3A-4712-B975-2874DD7C8E7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3A-4712-B975-2874DD7C8E7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3A-4712-B975-2874DD7C8E74}"/>
              </c:ext>
            </c:extLst>
          </c:dPt>
          <c:cat>
            <c:strRef>
              <c:f>'EM evol menusual lugar resd'!$B$97:$B$108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resd'!$N$97:$N$109</c:f>
              <c:numCache>
                <c:formatCode>0.00</c:formatCode>
                <c:ptCount val="13"/>
                <c:pt idx="0">
                  <c:v>-0.45438030020045295</c:v>
                </c:pt>
                <c:pt idx="1">
                  <c:v>-0.41981812319486655</c:v>
                </c:pt>
                <c:pt idx="2">
                  <c:v>-0.94794171730425703</c:v>
                </c:pt>
                <c:pt idx="3">
                  <c:v>-0.69836181480722637</c:v>
                </c:pt>
                <c:pt idx="4">
                  <c:v>-0.13790023297967569</c:v>
                </c:pt>
                <c:pt idx="5">
                  <c:v>0.12521991681679401</c:v>
                </c:pt>
                <c:pt idx="12">
                  <c:v>-0.50231293249813769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23A-4712-B975-2874DD7C8E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CA2-4464-8CBE-BA3BF03D389C}"/>
              </c:ext>
            </c:extLst>
          </c:dPt>
          <c:val>
            <c:numRef>
              <c:f>'EM evol menusual lugar resd'!$I$119:$I$131</c:f>
              <c:numCache>
                <c:formatCode>0.00</c:formatCode>
                <c:ptCount val="13"/>
                <c:pt idx="0">
                  <c:v>3.0178253119429592</c:v>
                </c:pt>
                <c:pt idx="1">
                  <c:v>2.7137161084529504</c:v>
                </c:pt>
                <c:pt idx="2">
                  <c:v>2.840103716508211</c:v>
                </c:pt>
                <c:pt idx="3">
                  <c:v>3.3218390804597702</c:v>
                </c:pt>
                <c:pt idx="4">
                  <c:v>3.4131868131868131</c:v>
                </c:pt>
                <c:pt idx="5">
                  <c:v>2.0308571428571427</c:v>
                </c:pt>
                <c:pt idx="6">
                  <c:v>2.9682779456193353</c:v>
                </c:pt>
                <c:pt idx="7">
                  <c:v>2.9539918809201624</c:v>
                </c:pt>
                <c:pt idx="8">
                  <c:v>9.6633858267716537</c:v>
                </c:pt>
                <c:pt idx="9">
                  <c:v>6.4522875816993466</c:v>
                </c:pt>
                <c:pt idx="10">
                  <c:v>3.0739700374531833</c:v>
                </c:pt>
                <c:pt idx="11">
                  <c:v>3.2570671378091873</c:v>
                </c:pt>
                <c:pt idx="12">
                  <c:v>3.4575820024042589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CA2-4464-8CBE-BA3BF03D389C}"/>
            </c:ext>
          </c:extLst>
        </c:ser>
        <c:ser>
          <c:idx val="0"/>
          <c:order val="2"/>
          <c:tx>
            <c:strRef>
              <c:f>'EM evol menusual lugar resd'!$K$117:$L$117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CA2-4464-8CBE-BA3BF03D389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resd'!$K$119:$K$131</c:f>
              <c:numCache>
                <c:formatCode>0.00</c:formatCode>
                <c:ptCount val="13"/>
                <c:pt idx="0">
                  <c:v>3.6590184831102612</c:v>
                </c:pt>
                <c:pt idx="1">
                  <c:v>3.0872056015276894</c:v>
                </c:pt>
                <c:pt idx="2">
                  <c:v>4.0447897623400362</c:v>
                </c:pt>
                <c:pt idx="3">
                  <c:v>5.2445652173913047</c:v>
                </c:pt>
                <c:pt idx="4">
                  <c:v>3.4363636363636365</c:v>
                </c:pt>
                <c:pt idx="5">
                  <c:v>2.1683748169838948</c:v>
                </c:pt>
                <c:pt idx="6">
                  <c:v>3.1173553719008265</c:v>
                </c:pt>
                <c:pt idx="7">
                  <c:v>3.9154135338345863</c:v>
                </c:pt>
                <c:pt idx="8">
                  <c:v>3.7929373996789728</c:v>
                </c:pt>
                <c:pt idx="9">
                  <c:v>2.9451612903225808</c:v>
                </c:pt>
                <c:pt idx="10">
                  <c:v>2.8123827392120075</c:v>
                </c:pt>
                <c:pt idx="11">
                  <c:v>3.14419795221843</c:v>
                </c:pt>
                <c:pt idx="12">
                  <c:v>3.4272710210210211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CA2-4464-8CBE-BA3BF03D389C}"/>
            </c:ext>
          </c:extLst>
        </c:ser>
        <c:ser>
          <c:idx val="1"/>
          <c:order val="3"/>
          <c:tx>
            <c:strRef>
              <c:f>'EM evol menusual lugar resd'!$M$117:$N$117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CA2-4464-8CBE-BA3BF03D389C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CA2-4464-8CBE-BA3BF03D389C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resd'!$M$119:$M$131</c:f>
              <c:numCache>
                <c:formatCode>0.00</c:formatCode>
                <c:ptCount val="13"/>
                <c:pt idx="0">
                  <c:v>3.0897357098955132</c:v>
                </c:pt>
                <c:pt idx="1">
                  <c:v>3.2123893805309733</c:v>
                </c:pt>
                <c:pt idx="2">
                  <c:v>2.5038022813688214</c:v>
                </c:pt>
                <c:pt idx="3">
                  <c:v>3.081967213114754</c:v>
                </c:pt>
                <c:pt idx="4">
                  <c:v>2.8464646464646464</c:v>
                </c:pt>
                <c:pt idx="5">
                  <c:v>2.9555555555555557</c:v>
                </c:pt>
                <c:pt idx="12">
                  <c:v>2.9738609548012342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CA2-4464-8CBE-BA3BF03D3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CA2-4464-8CBE-BA3BF03D389C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resd'!$C$119:$C$131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3.1318851823118696</c:v>
                      </c:pt>
                      <c:pt idx="1">
                        <c:v>2.9756733275412683</c:v>
                      </c:pt>
                      <c:pt idx="2">
                        <c:v>3.9297297297297296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2.2211538461538463</c:v>
                      </c:pt>
                      <c:pt idx="8">
                        <c:v>2.5809523809523811</c:v>
                      </c:pt>
                      <c:pt idx="9">
                        <c:v>1.8445945945945945</c:v>
                      </c:pt>
                      <c:pt idx="10">
                        <c:v>1.9931972789115646</c:v>
                      </c:pt>
                      <c:pt idx="11">
                        <c:v>2.7306122448979591</c:v>
                      </c:pt>
                      <c:pt idx="12">
                        <c:v>2.9005328596802844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CA2-4464-8CBE-BA3BF03D389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resd'!$N$118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CA2-4464-8CBE-BA3BF03D389C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CA2-4464-8CBE-BA3BF03D389C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CA2-4464-8CBE-BA3BF03D389C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A2-4464-8CBE-BA3BF03D389C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A2-4464-8CBE-BA3BF03D389C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A2-4464-8CBE-BA3BF03D389C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A2-4464-8CBE-BA3BF03D389C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A2-4464-8CBE-BA3BF03D389C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A2-4464-8CBE-BA3BF03D389C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A2-4464-8CBE-BA3BF03D389C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A2-4464-8CBE-BA3BF03D389C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A2-4464-8CBE-BA3BF03D389C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CA2-4464-8CBE-BA3BF03D389C}"/>
              </c:ext>
            </c:extLst>
          </c:dPt>
          <c:cat>
            <c:strRef>
              <c:f>'EM evol menusual lugar resd'!$B$119:$B$130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resd'!$N$119:$N$131</c:f>
              <c:numCache>
                <c:formatCode>0.00</c:formatCode>
                <c:ptCount val="13"/>
                <c:pt idx="0">
                  <c:v>-0.56928277321474807</c:v>
                </c:pt>
                <c:pt idx="1">
                  <c:v>0.12518377900328392</c:v>
                </c:pt>
                <c:pt idx="2">
                  <c:v>-1.5409874809712147</c:v>
                </c:pt>
                <c:pt idx="3">
                  <c:v>-2.1625980042765507</c:v>
                </c:pt>
                <c:pt idx="4">
                  <c:v>-0.58989898989899014</c:v>
                </c:pt>
                <c:pt idx="5">
                  <c:v>0.78718073857166093</c:v>
                </c:pt>
                <c:pt idx="12">
                  <c:v>-0.61673195675888515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CA2-4464-8CBE-BA3BF03D38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6198377665"/>
          <c:y val="0.148808020619044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'EM evol menusual lugar resd'!$I$139:$J$139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61C-4FAF-908A-2D436AFB697A}"/>
              </c:ext>
            </c:extLst>
          </c:dPt>
          <c:val>
            <c:numRef>
              <c:f>'EM evol menusual lugar resd'!$I$141:$I$153</c:f>
              <c:numCache>
                <c:formatCode>0.00</c:formatCode>
                <c:ptCount val="13"/>
                <c:pt idx="0">
                  <c:v>3.0078160919540231</c:v>
                </c:pt>
                <c:pt idx="1">
                  <c:v>2.9518987341772154</c:v>
                </c:pt>
                <c:pt idx="2">
                  <c:v>3.0681431005110733</c:v>
                </c:pt>
                <c:pt idx="3">
                  <c:v>2.8441330998248686</c:v>
                </c:pt>
                <c:pt idx="4">
                  <c:v>3.4113924050632911</c:v>
                </c:pt>
                <c:pt idx="5">
                  <c:v>2.2542372881355934</c:v>
                </c:pt>
                <c:pt idx="6">
                  <c:v>3.7583497053045187</c:v>
                </c:pt>
                <c:pt idx="7">
                  <c:v>5.3590664272890489</c:v>
                </c:pt>
                <c:pt idx="8">
                  <c:v>3.9280575539568345</c:v>
                </c:pt>
                <c:pt idx="9">
                  <c:v>3.7243816254416959</c:v>
                </c:pt>
                <c:pt idx="10">
                  <c:v>3.3473531544597535</c:v>
                </c:pt>
                <c:pt idx="11">
                  <c:v>3.2475832438238452</c:v>
                </c:pt>
                <c:pt idx="12">
                  <c:v>3.262616401321718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61C-4FAF-908A-2D436AFB697A}"/>
            </c:ext>
          </c:extLst>
        </c:ser>
        <c:ser>
          <c:idx val="0"/>
          <c:order val="3"/>
          <c:tx>
            <c:strRef>
              <c:f>'EM evol menusual lugar resd'!$K$139:$L$139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61C-4FAF-908A-2D436AFB697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resd'!$K$141:$K$153</c:f>
              <c:numCache>
                <c:formatCode>0.00</c:formatCode>
                <c:ptCount val="13"/>
                <c:pt idx="0">
                  <c:v>3.0891038696537678</c:v>
                </c:pt>
                <c:pt idx="1">
                  <c:v>2.8136952498457743</c:v>
                </c:pt>
                <c:pt idx="2">
                  <c:v>3.3477758521086076</c:v>
                </c:pt>
                <c:pt idx="3">
                  <c:v>3.0526849037487334</c:v>
                </c:pt>
                <c:pt idx="4">
                  <c:v>3.6533333333333333</c:v>
                </c:pt>
                <c:pt idx="5">
                  <c:v>3.1690821256038646</c:v>
                </c:pt>
                <c:pt idx="6">
                  <c:v>3.1252525252525252</c:v>
                </c:pt>
                <c:pt idx="7">
                  <c:v>4.5181674565560819</c:v>
                </c:pt>
                <c:pt idx="8">
                  <c:v>4.2538461538461538</c:v>
                </c:pt>
                <c:pt idx="9">
                  <c:v>4.0418250950570345</c:v>
                </c:pt>
                <c:pt idx="10">
                  <c:v>2.7167487684729066</c:v>
                </c:pt>
                <c:pt idx="11">
                  <c:v>2.922064244339126</c:v>
                </c:pt>
                <c:pt idx="12">
                  <c:v>3.2117772529900206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61C-4FAF-908A-2D436AFB697A}"/>
            </c:ext>
          </c:extLst>
        </c:ser>
        <c:ser>
          <c:idx val="1"/>
          <c:order val="4"/>
          <c:tx>
            <c:strRef>
              <c:f>'EM evol menusual lugar resd'!$M$139:$N$139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61C-4FAF-908A-2D436AFB697A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61C-4FAF-908A-2D436AFB697A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resd'!$M$141:$M$153</c:f>
              <c:numCache>
                <c:formatCode>0.00</c:formatCode>
                <c:ptCount val="13"/>
                <c:pt idx="0">
                  <c:v>2.6489778164419313</c:v>
                </c:pt>
                <c:pt idx="1">
                  <c:v>2.592752839372634</c:v>
                </c:pt>
                <c:pt idx="2">
                  <c:v>2.3437806072477962</c:v>
                </c:pt>
                <c:pt idx="3">
                  <c:v>3.4611503531786076</c:v>
                </c:pt>
                <c:pt idx="4">
                  <c:v>2.9536290322580645</c:v>
                </c:pt>
                <c:pt idx="5">
                  <c:v>3.1378299120234603</c:v>
                </c:pt>
                <c:pt idx="12">
                  <c:v>2.6983038164130706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61C-4FAF-908A-2D436AFB6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61C-4FAF-908A-2D436AFB697A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resd'!$C$141:$C$153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3.2248243559718968</c:v>
                      </c:pt>
                      <c:pt idx="1">
                        <c:v>2.8220858895705523</c:v>
                      </c:pt>
                      <c:pt idx="2">
                        <c:v>3.3368644067796609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2.5029585798816569</c:v>
                      </c:pt>
                      <c:pt idx="8">
                        <c:v>2.1721311475409837</c:v>
                      </c:pt>
                      <c:pt idx="9">
                        <c:v>1.7105263157894737</c:v>
                      </c:pt>
                      <c:pt idx="10">
                        <c:v>2.3322033898305086</c:v>
                      </c:pt>
                      <c:pt idx="11">
                        <c:v>2.5040983606557377</c:v>
                      </c:pt>
                      <c:pt idx="12">
                        <c:v>2.8492474710091291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61C-4FAF-908A-2D436AFB697A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'EM evol menusual lugar resd'!$G$139:$H$139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461C-4FAF-908A-2D436AFB697A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('EM evol menusual lugar resd'!$G$141:$G$152,'EM evol menusual lugar resd'!$G$153)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3.4815983175604628</c:v>
                      </c:pt>
                      <c:pt idx="1">
                        <c:v>3.0127931769722816</c:v>
                      </c:pt>
                      <c:pt idx="2">
                        <c:v>3.3627272727272728</c:v>
                      </c:pt>
                      <c:pt idx="3">
                        <c:v>3.6690140845070425</c:v>
                      </c:pt>
                      <c:pt idx="4">
                        <c:v>4.1291666666666664</c:v>
                      </c:pt>
                      <c:pt idx="5">
                        <c:v>3.4030303030303028</c:v>
                      </c:pt>
                      <c:pt idx="6">
                        <c:v>4.4758771929824563</c:v>
                      </c:pt>
                      <c:pt idx="7">
                        <c:v>3.3537906137184117</c:v>
                      </c:pt>
                      <c:pt idx="8">
                        <c:v>2.6366197183098592</c:v>
                      </c:pt>
                      <c:pt idx="9">
                        <c:v>2.5501330967169475</c:v>
                      </c:pt>
                      <c:pt idx="10">
                        <c:v>2.7950963222416814</c:v>
                      </c:pt>
                      <c:pt idx="11">
                        <c:v>2.5809756097560976</c:v>
                      </c:pt>
                      <c:pt idx="12">
                        <c:v>3.0895124766894591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461C-4FAF-908A-2D436AFB697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'EM evol menusual lugar resd'!$N$140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61C-4FAF-908A-2D436AFB697A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61C-4FAF-908A-2D436AFB697A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61C-4FAF-908A-2D436AFB697A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61C-4FAF-908A-2D436AFB697A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61C-4FAF-908A-2D436AFB697A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1C-4FAF-908A-2D436AFB697A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1C-4FAF-908A-2D436AFB697A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1C-4FAF-908A-2D436AFB697A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1C-4FAF-908A-2D436AFB697A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1C-4FAF-908A-2D436AFB697A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1C-4FAF-908A-2D436AFB697A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1C-4FAF-908A-2D436AFB697A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1C-4FAF-908A-2D436AFB697A}"/>
              </c:ext>
            </c:extLst>
          </c:dPt>
          <c:cat>
            <c:strRef>
              <c:f>'EM evol menusual lugar resd'!$B$141:$B$152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resd'!$N$141:$N$153</c:f>
              <c:numCache>
                <c:formatCode>0.00</c:formatCode>
                <c:ptCount val="13"/>
                <c:pt idx="0">
                  <c:v>-0.44012605321183651</c:v>
                </c:pt>
                <c:pt idx="1">
                  <c:v>-0.22094241047314034</c:v>
                </c:pt>
                <c:pt idx="2">
                  <c:v>-1.0039952448608114</c:v>
                </c:pt>
                <c:pt idx="3">
                  <c:v>0.40846544942987428</c:v>
                </c:pt>
                <c:pt idx="4">
                  <c:v>-0.69970430107526882</c:v>
                </c:pt>
                <c:pt idx="5">
                  <c:v>-3.1252213580404309E-2</c:v>
                </c:pt>
                <c:pt idx="12">
                  <c:v>-0.4260159826660419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61C-4FAF-908A-2D436AFB69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TF'!$I$95:$J$95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645-4A78-B4D5-EBEE20787751}"/>
              </c:ext>
            </c:extLst>
          </c:dPt>
          <c:val>
            <c:numRef>
              <c:f>'Viajeros entr evol mensu TF'!$I$97:$I$109</c:f>
              <c:numCache>
                <c:formatCode>#,##0</c:formatCode>
                <c:ptCount val="13"/>
                <c:pt idx="0">
                  <c:v>13157</c:v>
                </c:pt>
                <c:pt idx="1">
                  <c:v>10692</c:v>
                </c:pt>
                <c:pt idx="2">
                  <c:v>9794</c:v>
                </c:pt>
                <c:pt idx="3">
                  <c:v>6884</c:v>
                </c:pt>
                <c:pt idx="4">
                  <c:v>4667</c:v>
                </c:pt>
                <c:pt idx="5">
                  <c:v>4917</c:v>
                </c:pt>
                <c:pt idx="6">
                  <c:v>5083</c:v>
                </c:pt>
                <c:pt idx="7">
                  <c:v>6171</c:v>
                </c:pt>
                <c:pt idx="8">
                  <c:v>4623</c:v>
                </c:pt>
                <c:pt idx="9">
                  <c:v>6591</c:v>
                </c:pt>
                <c:pt idx="10">
                  <c:v>9972</c:v>
                </c:pt>
                <c:pt idx="11">
                  <c:v>10128</c:v>
                </c:pt>
                <c:pt idx="12">
                  <c:v>92679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45-4A78-B4D5-EBEE20787751}"/>
            </c:ext>
          </c:extLst>
        </c:ser>
        <c:ser>
          <c:idx val="0"/>
          <c:order val="2"/>
          <c:tx>
            <c:strRef>
              <c:f>'Viajeros entr evol mensu TF'!$K$95:$L$95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645-4A78-B4D5-EBEE2078775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TF'!$K$97:$K$109</c:f>
              <c:numCache>
                <c:formatCode>#,##0</c:formatCode>
                <c:ptCount val="13"/>
                <c:pt idx="0">
                  <c:v>11967</c:v>
                </c:pt>
                <c:pt idx="1">
                  <c:v>10745</c:v>
                </c:pt>
                <c:pt idx="2">
                  <c:v>10168</c:v>
                </c:pt>
                <c:pt idx="3">
                  <c:v>7197</c:v>
                </c:pt>
                <c:pt idx="4">
                  <c:v>4792</c:v>
                </c:pt>
                <c:pt idx="5">
                  <c:v>4604</c:v>
                </c:pt>
                <c:pt idx="6">
                  <c:v>5335</c:v>
                </c:pt>
                <c:pt idx="7">
                  <c:v>5898</c:v>
                </c:pt>
                <c:pt idx="8">
                  <c:v>5263</c:v>
                </c:pt>
                <c:pt idx="9">
                  <c:v>6602</c:v>
                </c:pt>
                <c:pt idx="10">
                  <c:v>10214</c:v>
                </c:pt>
                <c:pt idx="11">
                  <c:v>11520</c:v>
                </c:pt>
                <c:pt idx="12">
                  <c:v>94305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645-4A78-B4D5-EBEE20787751}"/>
            </c:ext>
          </c:extLst>
        </c:ser>
        <c:ser>
          <c:idx val="1"/>
          <c:order val="3"/>
          <c:tx>
            <c:strRef>
              <c:f>'Viajeros entr evol mensu TF'!$M$95:$N$95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645-4A78-B4D5-EBEE2078775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645-4A78-B4D5-EBEE20787751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TF'!$M$97:$M$109</c:f>
              <c:numCache>
                <c:formatCode>#,##0</c:formatCode>
                <c:ptCount val="13"/>
                <c:pt idx="0">
                  <c:v>12686</c:v>
                </c:pt>
                <c:pt idx="1">
                  <c:v>11462</c:v>
                </c:pt>
                <c:pt idx="2">
                  <c:v>11241</c:v>
                </c:pt>
                <c:pt idx="3">
                  <c:v>7965</c:v>
                </c:pt>
                <c:pt idx="4">
                  <c:v>5481</c:v>
                </c:pt>
                <c:pt idx="5">
                  <c:v>4201</c:v>
                </c:pt>
                <c:pt idx="12">
                  <c:v>53036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645-4A78-B4D5-EBEE20787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TF'!$C$95:$D$95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645-4A78-B4D5-EBEE2078775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TF'!$C$97:$C$109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10764</c:v>
                      </c:pt>
                      <c:pt idx="1">
                        <c:v>11152</c:v>
                      </c:pt>
                      <c:pt idx="2">
                        <c:v>3997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2584</c:v>
                      </c:pt>
                      <c:pt idx="8">
                        <c:v>2225</c:v>
                      </c:pt>
                      <c:pt idx="9">
                        <c:v>2580</c:v>
                      </c:pt>
                      <c:pt idx="10">
                        <c:v>2646</c:v>
                      </c:pt>
                      <c:pt idx="11">
                        <c:v>2589</c:v>
                      </c:pt>
                      <c:pt idx="12">
                        <c:v>41945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645-4A78-B4D5-EBEE2078775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TF'!$N$96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645-4A78-B4D5-EBEE2078775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645-4A78-B4D5-EBEE2078775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645-4A78-B4D5-EBEE2078775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645-4A78-B4D5-EBEE2078775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645-4A78-B4D5-EBEE2078775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45-4A78-B4D5-EBEE2078775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45-4A78-B4D5-EBEE2078775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45-4A78-B4D5-EBEE2078775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45-4A78-B4D5-EBEE2078775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45-4A78-B4D5-EBEE2078775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45-4A78-B4D5-EBEE2078775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45-4A78-B4D5-EBEE2078775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45-4A78-B4D5-EBEE20787751}"/>
              </c:ext>
            </c:extLst>
          </c:dPt>
          <c:cat>
            <c:strRef>
              <c:f>'Viajeros entr evol mensu TF'!$B$97:$B$108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TF'!$N$97:$N$109</c:f>
              <c:numCache>
                <c:formatCode>0.0%</c:formatCode>
                <c:ptCount val="13"/>
                <c:pt idx="0">
                  <c:v>6.0081891869307347E-2</c:v>
                </c:pt>
                <c:pt idx="1">
                  <c:v>6.6728711028385401E-2</c:v>
                </c:pt>
                <c:pt idx="2">
                  <c:v>0.10552714398111718</c:v>
                </c:pt>
                <c:pt idx="3">
                  <c:v>0.10671112963734886</c:v>
                </c:pt>
                <c:pt idx="4">
                  <c:v>0.14378130217028384</c:v>
                </c:pt>
                <c:pt idx="5">
                  <c:v>-8.7532580364900081E-2</c:v>
                </c:pt>
                <c:pt idx="12">
                  <c:v>7.20190811149517E-2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645-4A78-B4D5-EBEE207877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15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E07-43B6-9FC8-293416D3EB7D}"/>
              </c:ext>
            </c:extLst>
          </c:dPt>
          <c:val>
            <c:numRef>
              <c:f>'EM evol menusual lugar resd'!$I$163:$I$175</c:f>
              <c:numCache>
                <c:formatCode>0.00</c:formatCode>
                <c:ptCount val="13"/>
                <c:pt idx="0">
                  <c:v>3.2624390243902437</c:v>
                </c:pt>
                <c:pt idx="1">
                  <c:v>2.7587822014051522</c:v>
                </c:pt>
                <c:pt idx="2">
                  <c:v>2.9254201680672267</c:v>
                </c:pt>
                <c:pt idx="3">
                  <c:v>2.8601626016260164</c:v>
                </c:pt>
                <c:pt idx="4">
                  <c:v>3.4193548387096775</c:v>
                </c:pt>
                <c:pt idx="5">
                  <c:v>3.8049886621315192</c:v>
                </c:pt>
                <c:pt idx="6">
                  <c:v>3.221294363256785</c:v>
                </c:pt>
                <c:pt idx="7">
                  <c:v>3.7811735941320292</c:v>
                </c:pt>
                <c:pt idx="8">
                  <c:v>2.4781021897810218</c:v>
                </c:pt>
                <c:pt idx="9">
                  <c:v>2.3209366391184574</c:v>
                </c:pt>
                <c:pt idx="10">
                  <c:v>2.8983739837398375</c:v>
                </c:pt>
                <c:pt idx="11">
                  <c:v>3.1310344827586207</c:v>
                </c:pt>
                <c:pt idx="12">
                  <c:v>3.0535632708999545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E07-43B6-9FC8-293416D3EB7D}"/>
            </c:ext>
          </c:extLst>
        </c:ser>
        <c:ser>
          <c:idx val="0"/>
          <c:order val="2"/>
          <c:tx>
            <c:strRef>
              <c:f>'EM evol menusual lugar resd'!$K$161:$L$161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E07-43B6-9FC8-293416D3EB7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resd'!$K$163:$K$175</c:f>
              <c:numCache>
                <c:formatCode>0.00</c:formatCode>
                <c:ptCount val="13"/>
                <c:pt idx="0">
                  <c:v>3.4018801410105759</c:v>
                </c:pt>
                <c:pt idx="1">
                  <c:v>3.1713917525773194</c:v>
                </c:pt>
                <c:pt idx="2">
                  <c:v>3.0355220667384284</c:v>
                </c:pt>
                <c:pt idx="3">
                  <c:v>3.2119658119658121</c:v>
                </c:pt>
                <c:pt idx="4">
                  <c:v>3.05</c:v>
                </c:pt>
                <c:pt idx="5">
                  <c:v>2.4794520547945207</c:v>
                </c:pt>
                <c:pt idx="6">
                  <c:v>2.9655963302752295</c:v>
                </c:pt>
                <c:pt idx="7">
                  <c:v>3.7306967984934087</c:v>
                </c:pt>
                <c:pt idx="8">
                  <c:v>3.4807370184254607</c:v>
                </c:pt>
                <c:pt idx="9">
                  <c:v>2.5513196480938416</c:v>
                </c:pt>
                <c:pt idx="10">
                  <c:v>2.5370138017565873</c:v>
                </c:pt>
                <c:pt idx="11">
                  <c:v>2.7957497048406141</c:v>
                </c:pt>
                <c:pt idx="12">
                  <c:v>3.078673981557138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E07-43B6-9FC8-293416D3EB7D}"/>
            </c:ext>
          </c:extLst>
        </c:ser>
        <c:ser>
          <c:idx val="1"/>
          <c:order val="3"/>
          <c:tx>
            <c:strRef>
              <c:f>'EM evol menusual lugar resd'!$M$161:$N$161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E07-43B6-9FC8-293416D3EB7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E07-43B6-9FC8-293416D3EB7D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resd'!$M$163:$M$175</c:f>
              <c:numCache>
                <c:formatCode>0.00</c:formatCode>
                <c:ptCount val="13"/>
                <c:pt idx="0">
                  <c:v>2.6550116550116551</c:v>
                </c:pt>
                <c:pt idx="1">
                  <c:v>2.4119850187265919</c:v>
                </c:pt>
                <c:pt idx="2">
                  <c:v>2.5060240963855422</c:v>
                </c:pt>
                <c:pt idx="3">
                  <c:v>2.6920634920634923</c:v>
                </c:pt>
                <c:pt idx="4">
                  <c:v>2.6948275862068964</c:v>
                </c:pt>
                <c:pt idx="5">
                  <c:v>2.3545918367346941</c:v>
                </c:pt>
                <c:pt idx="12">
                  <c:v>2.5515789473684212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E07-43B6-9FC8-293416D3E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E07-43B6-9FC8-293416D3EB7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resd'!$C$163:$C$175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2.6476462196861625</c:v>
                      </c:pt>
                      <c:pt idx="1">
                        <c:v>2.5011627906976743</c:v>
                      </c:pt>
                      <c:pt idx="2">
                        <c:v>2.3419023136246788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2.5263157894736841</c:v>
                      </c:pt>
                      <c:pt idx="8">
                        <c:v>2.058252427184466</c:v>
                      </c:pt>
                      <c:pt idx="9">
                        <c:v>1.7537688442211055</c:v>
                      </c:pt>
                      <c:pt idx="10">
                        <c:v>1.9065420560747663</c:v>
                      </c:pt>
                      <c:pt idx="11">
                        <c:v>2.4467213114754101</c:v>
                      </c:pt>
                      <c:pt idx="12">
                        <c:v>2.4136269786648312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E07-43B6-9FC8-293416D3EB7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resd'!$N$162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E07-43B6-9FC8-293416D3EB7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E07-43B6-9FC8-293416D3EB7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E07-43B6-9FC8-293416D3EB7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07-43B6-9FC8-293416D3EB7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07-43B6-9FC8-293416D3EB7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07-43B6-9FC8-293416D3EB7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07-43B6-9FC8-293416D3EB7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07-43B6-9FC8-293416D3EB7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07-43B6-9FC8-293416D3EB7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07-43B6-9FC8-293416D3EB7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07-43B6-9FC8-293416D3EB7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07-43B6-9FC8-293416D3EB7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07-43B6-9FC8-293416D3EB7D}"/>
              </c:ext>
            </c:extLst>
          </c:dPt>
          <c:cat>
            <c:strRef>
              <c:f>'EM evol menusual lugar resd'!$B$163:$B$174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resd'!$N$163:$N$175</c:f>
              <c:numCache>
                <c:formatCode>0.00</c:formatCode>
                <c:ptCount val="13"/>
                <c:pt idx="0">
                  <c:v>-0.74686848599892075</c:v>
                </c:pt>
                <c:pt idx="1">
                  <c:v>-0.75940673385072754</c:v>
                </c:pt>
                <c:pt idx="2">
                  <c:v>-0.52949797035288615</c:v>
                </c:pt>
                <c:pt idx="3">
                  <c:v>-0.51990231990231983</c:v>
                </c:pt>
                <c:pt idx="4">
                  <c:v>-0.35517241379310338</c:v>
                </c:pt>
                <c:pt idx="5">
                  <c:v>-0.12486021805982661</c:v>
                </c:pt>
                <c:pt idx="12">
                  <c:v>-0.56274811486023291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E07-43B6-9FC8-293416D3EB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8B0-4A99-925E-B1842428A4D2}"/>
              </c:ext>
            </c:extLst>
          </c:dPt>
          <c:val>
            <c:numRef>
              <c:f>'EM evol menusual lugar resd'!$I$185:$I$197</c:f>
              <c:numCache>
                <c:formatCode>0.00</c:formatCode>
                <c:ptCount val="13"/>
                <c:pt idx="0">
                  <c:v>2.5857740585774058</c:v>
                </c:pt>
                <c:pt idx="1">
                  <c:v>2.5750000000000002</c:v>
                </c:pt>
                <c:pt idx="2">
                  <c:v>4.1359223300970873</c:v>
                </c:pt>
                <c:pt idx="3">
                  <c:v>3.5714285714285716</c:v>
                </c:pt>
                <c:pt idx="4">
                  <c:v>2.8666666666666667</c:v>
                </c:pt>
                <c:pt idx="5">
                  <c:v>2.5697674418604652</c:v>
                </c:pt>
                <c:pt idx="6">
                  <c:v>2.5481481481481483</c:v>
                </c:pt>
                <c:pt idx="7">
                  <c:v>3.4957983193277311</c:v>
                </c:pt>
                <c:pt idx="8">
                  <c:v>2.8235294117647061</c:v>
                </c:pt>
                <c:pt idx="9">
                  <c:v>2.8175182481751824</c:v>
                </c:pt>
                <c:pt idx="10">
                  <c:v>3.5201465201465201</c:v>
                </c:pt>
                <c:pt idx="11">
                  <c:v>2.9561403508771931</c:v>
                </c:pt>
                <c:pt idx="12">
                  <c:v>3.0806618407445709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8B0-4A99-925E-B1842428A4D2}"/>
            </c:ext>
          </c:extLst>
        </c:ser>
        <c:ser>
          <c:idx val="0"/>
          <c:order val="2"/>
          <c:tx>
            <c:strRef>
              <c:f>'EM evol menusual lugar resd'!$K$183:$L$183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8B0-4A99-925E-B1842428A4D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resd'!$K$185:$K$197</c:f>
              <c:numCache>
                <c:formatCode>0.00</c:formatCode>
                <c:ptCount val="13"/>
                <c:pt idx="0">
                  <c:v>2.8736462093862816</c:v>
                </c:pt>
                <c:pt idx="1">
                  <c:v>2.9292929292929295</c:v>
                </c:pt>
                <c:pt idx="2">
                  <c:v>2.9226519337016574</c:v>
                </c:pt>
                <c:pt idx="3">
                  <c:v>4.037383177570093</c:v>
                </c:pt>
                <c:pt idx="4">
                  <c:v>2.7593984962406015</c:v>
                </c:pt>
                <c:pt idx="5">
                  <c:v>2.324786324786325</c:v>
                </c:pt>
                <c:pt idx="6">
                  <c:v>2.6422764227642275</c:v>
                </c:pt>
                <c:pt idx="7">
                  <c:v>4.1339285714285712</c:v>
                </c:pt>
                <c:pt idx="8">
                  <c:v>3.06993006993007</c:v>
                </c:pt>
                <c:pt idx="9">
                  <c:v>2.3806451612903228</c:v>
                </c:pt>
                <c:pt idx="10">
                  <c:v>2.2638297872340427</c:v>
                </c:pt>
                <c:pt idx="11">
                  <c:v>2.6193548387096772</c:v>
                </c:pt>
                <c:pt idx="12">
                  <c:v>2.8292682926829267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8B0-4A99-925E-B1842428A4D2}"/>
            </c:ext>
          </c:extLst>
        </c:ser>
        <c:ser>
          <c:idx val="1"/>
          <c:order val="3"/>
          <c:tx>
            <c:strRef>
              <c:f>'EM evol menusual lugar resd'!$M$183:$N$183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8B0-4A99-925E-B1842428A4D2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98B0-4A99-925E-B1842428A4D2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resd'!$M$185:$M$197</c:f>
              <c:numCache>
                <c:formatCode>0.00</c:formatCode>
                <c:ptCount val="13"/>
                <c:pt idx="0">
                  <c:v>2.8328173374613002</c:v>
                </c:pt>
                <c:pt idx="1">
                  <c:v>2.6576576576576576</c:v>
                </c:pt>
                <c:pt idx="2">
                  <c:v>2.2459016393442623</c:v>
                </c:pt>
                <c:pt idx="3">
                  <c:v>2.1925925925925926</c:v>
                </c:pt>
                <c:pt idx="4">
                  <c:v>2.5947712418300655</c:v>
                </c:pt>
                <c:pt idx="5">
                  <c:v>2.5315315315315314</c:v>
                </c:pt>
                <c:pt idx="12">
                  <c:v>2.56433007985803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8B0-4A99-925E-B1842428A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98B0-4A99-925E-B1842428A4D2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resd'!$C$185:$C$197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2.3828828828828827</c:v>
                      </c:pt>
                      <c:pt idx="1">
                        <c:v>2.25</c:v>
                      </c:pt>
                      <c:pt idx="2">
                        <c:v>3.0352941176470587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2.5714285714285716</c:v>
                      </c:pt>
                      <c:pt idx="8">
                        <c:v>1.8918918918918919</c:v>
                      </c:pt>
                      <c:pt idx="9">
                        <c:v>2.7872340425531914</c:v>
                      </c:pt>
                      <c:pt idx="10">
                        <c:v>1.7192982456140351</c:v>
                      </c:pt>
                      <c:pt idx="11">
                        <c:v>2.6081081081081079</c:v>
                      </c:pt>
                      <c:pt idx="12">
                        <c:v>2.3633004926108376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98B0-4A99-925E-B1842428A4D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resd'!$N$184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8B0-4A99-925E-B1842428A4D2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8B0-4A99-925E-B1842428A4D2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8B0-4A99-925E-B1842428A4D2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B0-4A99-925E-B1842428A4D2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B0-4A99-925E-B1842428A4D2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B0-4A99-925E-B1842428A4D2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B0-4A99-925E-B1842428A4D2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B0-4A99-925E-B1842428A4D2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B0-4A99-925E-B1842428A4D2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B0-4A99-925E-B1842428A4D2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B0-4A99-925E-B1842428A4D2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B0-4A99-925E-B1842428A4D2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B0-4A99-925E-B1842428A4D2}"/>
              </c:ext>
            </c:extLst>
          </c:dPt>
          <c:cat>
            <c:strRef>
              <c:f>'EM evol menusual lugar resd'!$B$185:$B$196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resd'!$N$185:$N$197</c:f>
              <c:numCache>
                <c:formatCode>0.00</c:formatCode>
                <c:ptCount val="13"/>
                <c:pt idx="0">
                  <c:v>-4.0828871924981414E-2</c:v>
                </c:pt>
                <c:pt idx="1">
                  <c:v>-0.2716352716352719</c:v>
                </c:pt>
                <c:pt idx="2">
                  <c:v>-0.67675029435739509</c:v>
                </c:pt>
                <c:pt idx="3">
                  <c:v>-1.8447905849775004</c:v>
                </c:pt>
                <c:pt idx="4">
                  <c:v>-0.16462725441053605</c:v>
                </c:pt>
                <c:pt idx="5">
                  <c:v>0.20674520674520647</c:v>
                </c:pt>
                <c:pt idx="12">
                  <c:v>-0.37347840977671831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8B0-4A99-925E-B1842428A4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resd'!$I$205:$J$205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67-4529-91C0-324F55305627}"/>
              </c:ext>
            </c:extLst>
          </c:dPt>
          <c:val>
            <c:numRef>
              <c:f>'EM evol menusual lugar resd'!$I$207:$I$219</c:f>
              <c:numCache>
                <c:formatCode>0.00</c:formatCode>
                <c:ptCount val="13"/>
                <c:pt idx="0">
                  <c:v>2.8249158249158248</c:v>
                </c:pt>
                <c:pt idx="1">
                  <c:v>2.4600760456273765</c:v>
                </c:pt>
                <c:pt idx="2">
                  <c:v>2.6113360323886639</c:v>
                </c:pt>
                <c:pt idx="3">
                  <c:v>3.0125000000000002</c:v>
                </c:pt>
                <c:pt idx="4">
                  <c:v>2.6937500000000001</c:v>
                </c:pt>
                <c:pt idx="5">
                  <c:v>2.6162790697674421</c:v>
                </c:pt>
                <c:pt idx="6">
                  <c:v>1.8778877887788779</c:v>
                </c:pt>
                <c:pt idx="7">
                  <c:v>3.0769230769230771</c:v>
                </c:pt>
                <c:pt idx="8">
                  <c:v>3.9452054794520546</c:v>
                </c:pt>
                <c:pt idx="9">
                  <c:v>2.8269230769230771</c:v>
                </c:pt>
                <c:pt idx="10">
                  <c:v>2.8129251700680271</c:v>
                </c:pt>
                <c:pt idx="11">
                  <c:v>3.3711340206185567</c:v>
                </c:pt>
                <c:pt idx="12">
                  <c:v>2.7997724687144481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67-4529-91C0-324F55305627}"/>
            </c:ext>
          </c:extLst>
        </c:ser>
        <c:ser>
          <c:idx val="0"/>
          <c:order val="2"/>
          <c:tx>
            <c:strRef>
              <c:f>'EM evol menusual lugar resd'!$K$205:$L$205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67-4529-91C0-324F5530562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resd'!$K$207:$K$219</c:f>
              <c:numCache>
                <c:formatCode>0.00</c:formatCode>
                <c:ptCount val="13"/>
                <c:pt idx="0">
                  <c:v>3.3443223443223444</c:v>
                </c:pt>
                <c:pt idx="1">
                  <c:v>2.4355828220858897</c:v>
                </c:pt>
                <c:pt idx="2">
                  <c:v>3.1333333333333333</c:v>
                </c:pt>
                <c:pt idx="3">
                  <c:v>2.8167539267015709</c:v>
                </c:pt>
                <c:pt idx="4">
                  <c:v>3.6575342465753424</c:v>
                </c:pt>
                <c:pt idx="5">
                  <c:v>2.592233009708738</c:v>
                </c:pt>
                <c:pt idx="6">
                  <c:v>2.952054794520548</c:v>
                </c:pt>
                <c:pt idx="7">
                  <c:v>5.062176165803109</c:v>
                </c:pt>
                <c:pt idx="8">
                  <c:v>3.4752475247524752</c:v>
                </c:pt>
                <c:pt idx="9">
                  <c:v>4.169354838709677</c:v>
                </c:pt>
                <c:pt idx="10">
                  <c:v>2.3783783783783785</c:v>
                </c:pt>
                <c:pt idx="11">
                  <c:v>3.0121457489878543</c:v>
                </c:pt>
                <c:pt idx="12">
                  <c:v>3.1528013582342953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67-4529-91C0-324F55305627}"/>
            </c:ext>
          </c:extLst>
        </c:ser>
        <c:ser>
          <c:idx val="1"/>
          <c:order val="3"/>
          <c:tx>
            <c:strRef>
              <c:f>'EM evol menusual lugar resd'!$M$205:$N$205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67-4529-91C0-324F5530562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367-4529-91C0-324F55305627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resd'!$M$207:$M$219</c:f>
              <c:numCache>
                <c:formatCode>0.00</c:formatCode>
                <c:ptCount val="13"/>
                <c:pt idx="0">
                  <c:v>2.9627659574468086</c:v>
                </c:pt>
                <c:pt idx="1">
                  <c:v>2.8980263157894739</c:v>
                </c:pt>
                <c:pt idx="2">
                  <c:v>2.6015936254980079</c:v>
                </c:pt>
                <c:pt idx="3">
                  <c:v>2.8721804511278197</c:v>
                </c:pt>
                <c:pt idx="4">
                  <c:v>3.2900763358778624</c:v>
                </c:pt>
                <c:pt idx="5">
                  <c:v>3.4951456310679609</c:v>
                </c:pt>
                <c:pt idx="12">
                  <c:v>2.943759630200308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367-4529-91C0-324F55305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resd'!$C$205:$D$205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367-4529-91C0-324F5530562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resd'!$C$207:$C$219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2.8614718614718613</c:v>
                      </c:pt>
                      <c:pt idx="1">
                        <c:v>2.0930232558139537</c:v>
                      </c:pt>
                      <c:pt idx="2">
                        <c:v>2.4691358024691357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1.6041666666666667</c:v>
                      </c:pt>
                      <c:pt idx="8">
                        <c:v>1.5263157894736843</c:v>
                      </c:pt>
                      <c:pt idx="9">
                        <c:v>1.5666666666666667</c:v>
                      </c:pt>
                      <c:pt idx="10">
                        <c:v>2.6875</c:v>
                      </c:pt>
                      <c:pt idx="11">
                        <c:v>2.3488372093023258</c:v>
                      </c:pt>
                      <c:pt idx="12">
                        <c:v>2.4005102040816326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367-4529-91C0-324F5530562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resd'!$N$206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367-4529-91C0-324F5530562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367-4529-91C0-324F5530562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367-4529-91C0-324F5530562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367-4529-91C0-324F5530562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367-4529-91C0-324F5530562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67-4529-91C0-324F5530562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67-4529-91C0-324F5530562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67-4529-91C0-324F5530562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67-4529-91C0-324F5530562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67-4529-91C0-324F5530562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67-4529-91C0-324F5530562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67-4529-91C0-324F5530562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67-4529-91C0-324F55305627}"/>
              </c:ext>
            </c:extLst>
          </c:dPt>
          <c:cat>
            <c:strRef>
              <c:f>'EM evol menusual lugar resd'!$B$207:$B$218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resd'!$N$207:$N$219</c:f>
              <c:numCache>
                <c:formatCode>0.00</c:formatCode>
                <c:ptCount val="13"/>
                <c:pt idx="0">
                  <c:v>-0.38155638687553584</c:v>
                </c:pt>
                <c:pt idx="1">
                  <c:v>0.46244349370358417</c:v>
                </c:pt>
                <c:pt idx="2">
                  <c:v>-0.53173970783532543</c:v>
                </c:pt>
                <c:pt idx="3">
                  <c:v>5.5426524426248847E-2</c:v>
                </c:pt>
                <c:pt idx="4">
                  <c:v>-0.36745791069748002</c:v>
                </c:pt>
                <c:pt idx="5">
                  <c:v>0.9029126213592229</c:v>
                </c:pt>
                <c:pt idx="12">
                  <c:v>-2.181282776606519E-2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367-4529-91C0-324F553056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resd'!$I$227:$J$227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30B-45BA-B1CA-2ECC6CB1B014}"/>
              </c:ext>
            </c:extLst>
          </c:dPt>
          <c:val>
            <c:numRef>
              <c:f>'EM evol menusual lugar resd'!$I$229:$I$241</c:f>
              <c:numCache>
                <c:formatCode>0.00</c:formatCode>
                <c:ptCount val="13"/>
                <c:pt idx="0">
                  <c:v>2.5857740585774058</c:v>
                </c:pt>
                <c:pt idx="1">
                  <c:v>2.5750000000000002</c:v>
                </c:pt>
                <c:pt idx="2">
                  <c:v>4.1359223300970873</c:v>
                </c:pt>
                <c:pt idx="3">
                  <c:v>3.5714285714285716</c:v>
                </c:pt>
                <c:pt idx="4">
                  <c:v>2.8666666666666667</c:v>
                </c:pt>
                <c:pt idx="5">
                  <c:v>2.5697674418604652</c:v>
                </c:pt>
                <c:pt idx="6">
                  <c:v>2.5481481481481483</c:v>
                </c:pt>
                <c:pt idx="7">
                  <c:v>3.4957983193277311</c:v>
                </c:pt>
                <c:pt idx="8">
                  <c:v>2.8235294117647061</c:v>
                </c:pt>
                <c:pt idx="9">
                  <c:v>2.8175182481751824</c:v>
                </c:pt>
                <c:pt idx="10">
                  <c:v>3.5201465201465201</c:v>
                </c:pt>
                <c:pt idx="11">
                  <c:v>2.9561403508771931</c:v>
                </c:pt>
                <c:pt idx="12">
                  <c:v>3.0806618407445709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0B-45BA-B1CA-2ECC6CB1B014}"/>
            </c:ext>
          </c:extLst>
        </c:ser>
        <c:ser>
          <c:idx val="0"/>
          <c:order val="2"/>
          <c:tx>
            <c:strRef>
              <c:f>'EM evol menusual lugar resd'!$K$227:$L$227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30B-45BA-B1CA-2ECC6CB1B01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resd'!$K$229:$K$241</c:f>
              <c:numCache>
                <c:formatCode>0.00</c:formatCode>
                <c:ptCount val="13"/>
                <c:pt idx="0">
                  <c:v>2.8736462093862816</c:v>
                </c:pt>
                <c:pt idx="1">
                  <c:v>2.9292929292929295</c:v>
                </c:pt>
                <c:pt idx="2">
                  <c:v>2.9226519337016574</c:v>
                </c:pt>
                <c:pt idx="3">
                  <c:v>4.037383177570093</c:v>
                </c:pt>
                <c:pt idx="4">
                  <c:v>2.7593984962406015</c:v>
                </c:pt>
                <c:pt idx="5">
                  <c:v>2.324786324786325</c:v>
                </c:pt>
                <c:pt idx="6">
                  <c:v>2.6422764227642275</c:v>
                </c:pt>
                <c:pt idx="7">
                  <c:v>4.1339285714285712</c:v>
                </c:pt>
                <c:pt idx="8">
                  <c:v>3.06993006993007</c:v>
                </c:pt>
                <c:pt idx="9">
                  <c:v>2.3806451612903228</c:v>
                </c:pt>
                <c:pt idx="10">
                  <c:v>2.2638297872340427</c:v>
                </c:pt>
                <c:pt idx="11">
                  <c:v>2.6193548387096772</c:v>
                </c:pt>
                <c:pt idx="12">
                  <c:v>2.8292682926829267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0B-45BA-B1CA-2ECC6CB1B014}"/>
            </c:ext>
          </c:extLst>
        </c:ser>
        <c:ser>
          <c:idx val="1"/>
          <c:order val="3"/>
          <c:tx>
            <c:strRef>
              <c:f>'EM evol menusual lugar resd'!$M$227:$N$227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30B-45BA-B1CA-2ECC6CB1B01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830B-45BA-B1CA-2ECC6CB1B01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resd'!$M$229:$M$241</c:f>
              <c:numCache>
                <c:formatCode>0.00</c:formatCode>
                <c:ptCount val="13"/>
                <c:pt idx="0">
                  <c:v>2.8328173374613002</c:v>
                </c:pt>
                <c:pt idx="1">
                  <c:v>2.6576576576576576</c:v>
                </c:pt>
                <c:pt idx="2">
                  <c:v>2.2459016393442623</c:v>
                </c:pt>
                <c:pt idx="3">
                  <c:v>2.1925925925925926</c:v>
                </c:pt>
                <c:pt idx="4">
                  <c:v>2.5947712418300655</c:v>
                </c:pt>
                <c:pt idx="5">
                  <c:v>2.5315315315315314</c:v>
                </c:pt>
                <c:pt idx="12">
                  <c:v>2.56433007985803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30B-45BA-B1CA-2ECC6CB1B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resd'!$C$227:$D$227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830B-45BA-B1CA-2ECC6CB1B01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resd'!$C$229:$C$241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2.3828828828828827</c:v>
                      </c:pt>
                      <c:pt idx="1">
                        <c:v>2.25</c:v>
                      </c:pt>
                      <c:pt idx="2">
                        <c:v>3.0352941176470587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2.5714285714285716</c:v>
                      </c:pt>
                      <c:pt idx="8">
                        <c:v>1.8918918918918919</c:v>
                      </c:pt>
                      <c:pt idx="9">
                        <c:v>2.7872340425531914</c:v>
                      </c:pt>
                      <c:pt idx="10">
                        <c:v>1.7192982456140351</c:v>
                      </c:pt>
                      <c:pt idx="11">
                        <c:v>2.6081081081081079</c:v>
                      </c:pt>
                      <c:pt idx="12">
                        <c:v>2.3633004926108376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830B-45BA-B1CA-2ECC6CB1B01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resd'!$N$228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30B-45BA-B1CA-2ECC6CB1B01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30B-45BA-B1CA-2ECC6CB1B01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30B-45BA-B1CA-2ECC6CB1B01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0B-45BA-B1CA-2ECC6CB1B01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0B-45BA-B1CA-2ECC6CB1B01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0B-45BA-B1CA-2ECC6CB1B01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0B-45BA-B1CA-2ECC6CB1B01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0B-45BA-B1CA-2ECC6CB1B01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0B-45BA-B1CA-2ECC6CB1B01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0B-45BA-B1CA-2ECC6CB1B01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0B-45BA-B1CA-2ECC6CB1B01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0B-45BA-B1CA-2ECC6CB1B01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0B-45BA-B1CA-2ECC6CB1B014}"/>
              </c:ext>
            </c:extLst>
          </c:dPt>
          <c:cat>
            <c:strRef>
              <c:f>'EM evol menusual lugar resd'!$B$229:$B$240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resd'!$N$229:$N$241</c:f>
              <c:numCache>
                <c:formatCode>0.00</c:formatCode>
                <c:ptCount val="13"/>
                <c:pt idx="0">
                  <c:v>-4.0828871924981414E-2</c:v>
                </c:pt>
                <c:pt idx="1">
                  <c:v>-0.2716352716352719</c:v>
                </c:pt>
                <c:pt idx="2">
                  <c:v>-0.67675029435739509</c:v>
                </c:pt>
                <c:pt idx="3">
                  <c:v>-1.8447905849775004</c:v>
                </c:pt>
                <c:pt idx="4">
                  <c:v>-0.16462725441053605</c:v>
                </c:pt>
                <c:pt idx="5">
                  <c:v>0.20674520674520647</c:v>
                </c:pt>
                <c:pt idx="12">
                  <c:v>-0.37347840977671831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30B-45BA-B1CA-2ECC6CB1B0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resd'!$I$249:$J$249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14-4A68-98CF-EB644756AD58}"/>
              </c:ext>
            </c:extLst>
          </c:dPt>
          <c:val>
            <c:numRef>
              <c:f>'EM evol menusual lugar resd'!$I$251:$I$263</c:f>
              <c:numCache>
                <c:formatCode>0.00</c:formatCode>
                <c:ptCount val="13"/>
                <c:pt idx="0">
                  <c:v>2.7947368421052632</c:v>
                </c:pt>
                <c:pt idx="1">
                  <c:v>2.5424836601307188</c:v>
                </c:pt>
                <c:pt idx="2">
                  <c:v>2.0378787878787881</c:v>
                </c:pt>
                <c:pt idx="3">
                  <c:v>1.7355371900826446</c:v>
                </c:pt>
                <c:pt idx="4">
                  <c:v>2.4285714285714284</c:v>
                </c:pt>
                <c:pt idx="5">
                  <c:v>6.2307692307692308</c:v>
                </c:pt>
                <c:pt idx="6">
                  <c:v>5.76</c:v>
                </c:pt>
                <c:pt idx="7">
                  <c:v>7.0909090909090908</c:v>
                </c:pt>
                <c:pt idx="8">
                  <c:v>4.8571428571428568</c:v>
                </c:pt>
                <c:pt idx="9">
                  <c:v>1.9391304347826086</c:v>
                </c:pt>
                <c:pt idx="10">
                  <c:v>2.5141242937853105</c:v>
                </c:pt>
                <c:pt idx="11">
                  <c:v>2.3510638297872339</c:v>
                </c:pt>
                <c:pt idx="12">
                  <c:v>2.6137211036539894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14-4A68-98CF-EB644756AD58}"/>
            </c:ext>
          </c:extLst>
        </c:ser>
        <c:ser>
          <c:idx val="0"/>
          <c:order val="2"/>
          <c:tx>
            <c:strRef>
              <c:f>'EM evol menusual lugar resd'!$K$249:$L$249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14-4A68-98CF-EB644756AD5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resd'!$K$251:$K$263</c:f>
              <c:numCache>
                <c:formatCode>0.00</c:formatCode>
                <c:ptCount val="13"/>
                <c:pt idx="0">
                  <c:v>3.1305970149253732</c:v>
                </c:pt>
                <c:pt idx="1">
                  <c:v>2.8382978723404255</c:v>
                </c:pt>
                <c:pt idx="2">
                  <c:v>2.6414141414141414</c:v>
                </c:pt>
                <c:pt idx="3">
                  <c:v>2.0952380952380953</c:v>
                </c:pt>
                <c:pt idx="4">
                  <c:v>2.8461538461538463</c:v>
                </c:pt>
                <c:pt idx="5">
                  <c:v>5.8461538461538458</c:v>
                </c:pt>
                <c:pt idx="6">
                  <c:v>6.9347826086956523</c:v>
                </c:pt>
                <c:pt idx="7">
                  <c:v>5.666666666666667</c:v>
                </c:pt>
                <c:pt idx="8">
                  <c:v>2.2916666666666665</c:v>
                </c:pt>
                <c:pt idx="9">
                  <c:v>2.2410714285714284</c:v>
                </c:pt>
                <c:pt idx="10">
                  <c:v>2.1355932203389831</c:v>
                </c:pt>
                <c:pt idx="11">
                  <c:v>2.3860759493670884</c:v>
                </c:pt>
                <c:pt idx="12">
                  <c:v>2.901049475262369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14-4A68-98CF-EB644756AD58}"/>
            </c:ext>
          </c:extLst>
        </c:ser>
        <c:ser>
          <c:idx val="1"/>
          <c:order val="3"/>
          <c:tx>
            <c:strRef>
              <c:f>'EM evol menusual lugar resd'!$M$249:$N$249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14-4A68-98CF-EB644756AD5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D14-4A68-98CF-EB644756AD58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resd'!$M$251:$M$263</c:f>
              <c:numCache>
                <c:formatCode>0.00</c:formatCode>
                <c:ptCount val="13"/>
                <c:pt idx="0">
                  <c:v>2.7339901477832513</c:v>
                </c:pt>
                <c:pt idx="1">
                  <c:v>2.1507537688442211</c:v>
                </c:pt>
                <c:pt idx="2">
                  <c:v>2.7602739726027399</c:v>
                </c:pt>
                <c:pt idx="3">
                  <c:v>2.2439024390243905</c:v>
                </c:pt>
                <c:pt idx="4">
                  <c:v>2</c:v>
                </c:pt>
                <c:pt idx="5">
                  <c:v>2.7777777777777777</c:v>
                </c:pt>
                <c:pt idx="12">
                  <c:v>2.4947683109118088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D14-4A68-98CF-EB644756A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resd'!$C$249:$D$249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D14-4A68-98CF-EB644756AD5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resd'!$C$251:$C$263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2.4518272425249168</c:v>
                      </c:pt>
                      <c:pt idx="1">
                        <c:v>2.4299065420560746</c:v>
                      </c:pt>
                      <c:pt idx="2">
                        <c:v>2.8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1.5714285714285714</c:v>
                      </c:pt>
                      <c:pt idx="8">
                        <c:v>0</c:v>
                      </c:pt>
                      <c:pt idx="9">
                        <c:v>3</c:v>
                      </c:pt>
                      <c:pt idx="10">
                        <c:v>1.6363636363636365</c:v>
                      </c:pt>
                      <c:pt idx="11">
                        <c:v>1.625</c:v>
                      </c:pt>
                      <c:pt idx="12">
                        <c:v>2.5088495575221237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D14-4A68-98CF-EB644756AD5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resd'!$N$250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D14-4A68-98CF-EB644756AD5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14-4A68-98CF-EB644756AD5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14-4A68-98CF-EB644756AD5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14-4A68-98CF-EB644756AD5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14-4A68-98CF-EB644756AD5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14-4A68-98CF-EB644756AD5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14-4A68-98CF-EB644756AD5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14-4A68-98CF-EB644756AD5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14-4A68-98CF-EB644756AD5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14-4A68-98CF-EB644756AD5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14-4A68-98CF-EB644756AD5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14-4A68-98CF-EB644756AD5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14-4A68-98CF-EB644756AD58}"/>
              </c:ext>
            </c:extLst>
          </c:dPt>
          <c:cat>
            <c:strRef>
              <c:f>'EM evol menusual lugar resd'!$B$251:$B$262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resd'!$N$251:$N$263</c:f>
              <c:numCache>
                <c:formatCode>0.00</c:formatCode>
                <c:ptCount val="13"/>
                <c:pt idx="0">
                  <c:v>-0.3966068671421219</c:v>
                </c:pt>
                <c:pt idx="1">
                  <c:v>-0.68754410349620443</c:v>
                </c:pt>
                <c:pt idx="2">
                  <c:v>0.11885983118859844</c:v>
                </c:pt>
                <c:pt idx="3">
                  <c:v>0.14866434378629512</c:v>
                </c:pt>
                <c:pt idx="4">
                  <c:v>-0.84615384615384626</c:v>
                </c:pt>
                <c:pt idx="5">
                  <c:v>-3.0683760683760681</c:v>
                </c:pt>
                <c:pt idx="12">
                  <c:v>-0.43530161915812116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D14-4A68-98CF-EB644756A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menusual lugar resd'!$I$271:$J$271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A1A-4349-BAE5-7872073C1B74}"/>
              </c:ext>
            </c:extLst>
          </c:dPt>
          <c:val>
            <c:numRef>
              <c:f>'EM evol menusual lugar resd'!$I$273:$I$285</c:f>
              <c:numCache>
                <c:formatCode>0.00</c:formatCode>
                <c:ptCount val="13"/>
                <c:pt idx="0">
                  <c:v>2.2141280353200883</c:v>
                </c:pt>
                <c:pt idx="1">
                  <c:v>1.9424920127795526</c:v>
                </c:pt>
                <c:pt idx="2">
                  <c:v>1.9501557632398754</c:v>
                </c:pt>
                <c:pt idx="3">
                  <c:v>1.4731182795698925</c:v>
                </c:pt>
                <c:pt idx="4">
                  <c:v>1.7272727272727273</c:v>
                </c:pt>
                <c:pt idx="5">
                  <c:v>2.3636363636363638</c:v>
                </c:pt>
                <c:pt idx="6">
                  <c:v>3.6153846153846154</c:v>
                </c:pt>
                <c:pt idx="7">
                  <c:v>3</c:v>
                </c:pt>
                <c:pt idx="8">
                  <c:v>2.8378378378378377</c:v>
                </c:pt>
                <c:pt idx="9">
                  <c:v>1.8677685950413223</c:v>
                </c:pt>
                <c:pt idx="10">
                  <c:v>2.1746575342465753</c:v>
                </c:pt>
                <c:pt idx="11">
                  <c:v>1.8375350140056022</c:v>
                </c:pt>
                <c:pt idx="12">
                  <c:v>2.00081466395112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A1A-4349-BAE5-7872073C1B74}"/>
            </c:ext>
          </c:extLst>
        </c:ser>
        <c:ser>
          <c:idx val="0"/>
          <c:order val="2"/>
          <c:tx>
            <c:strRef>
              <c:f>'EM evol menusual lugar resd'!$K$271:$L$271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A1A-4349-BAE5-7872073C1B7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resd'!$K$273:$K$285</c:f>
              <c:numCache>
                <c:formatCode>0.00</c:formatCode>
                <c:ptCount val="13"/>
                <c:pt idx="0">
                  <c:v>2.3753280839895012</c:v>
                </c:pt>
                <c:pt idx="1">
                  <c:v>2.3452380952380953</c:v>
                </c:pt>
                <c:pt idx="2">
                  <c:v>2.1419753086419755</c:v>
                </c:pt>
                <c:pt idx="3">
                  <c:v>2.8341463414634145</c:v>
                </c:pt>
                <c:pt idx="4">
                  <c:v>1.6956521739130435</c:v>
                </c:pt>
                <c:pt idx="5">
                  <c:v>2.1923076923076925</c:v>
                </c:pt>
                <c:pt idx="6">
                  <c:v>3.7234042553191489</c:v>
                </c:pt>
                <c:pt idx="7">
                  <c:v>4.4210526315789478</c:v>
                </c:pt>
                <c:pt idx="8">
                  <c:v>2</c:v>
                </c:pt>
                <c:pt idx="9">
                  <c:v>1.6622807017543859</c:v>
                </c:pt>
                <c:pt idx="10">
                  <c:v>1.7654986522911051</c:v>
                </c:pt>
                <c:pt idx="11">
                  <c:v>1.9036402569593147</c:v>
                </c:pt>
                <c:pt idx="12">
                  <c:v>2.1728840754111514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1A-4349-BAE5-7872073C1B74}"/>
            </c:ext>
          </c:extLst>
        </c:ser>
        <c:ser>
          <c:idx val="1"/>
          <c:order val="3"/>
          <c:tx>
            <c:strRef>
              <c:f>'EM evol menusual lugar resd'!$M$271:$N$271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A1A-4349-BAE5-7872073C1B74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0A1A-4349-BAE5-7872073C1B74}"/>
              </c:ext>
            </c:extLst>
          </c:dPt>
          <c:cat>
            <c:strRef>
              <c:f>'EM evol menusual lugar resd'!$A$9:$A$21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menusual lugar resd'!$M$273:$M$285</c:f>
              <c:numCache>
                <c:formatCode>0.00</c:formatCode>
                <c:ptCount val="13"/>
                <c:pt idx="0">
                  <c:v>2.1986607142857144</c:v>
                </c:pt>
                <c:pt idx="1">
                  <c:v>1.7648648648648648</c:v>
                </c:pt>
                <c:pt idx="2">
                  <c:v>1.639751552795031</c:v>
                </c:pt>
                <c:pt idx="3">
                  <c:v>1.641025641025641</c:v>
                </c:pt>
                <c:pt idx="4">
                  <c:v>2.7111111111111112</c:v>
                </c:pt>
                <c:pt idx="5">
                  <c:v>3.2173913043478262</c:v>
                </c:pt>
                <c:pt idx="12">
                  <c:v>1.9193548387096775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A1A-4349-BAE5-7872073C1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menusual lugar resd'!$C$271:$D$271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0A1A-4349-BAE5-7872073C1B74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menusual lugar resd'!$A$9:$A$21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menusual lugar resd'!$C$273:$C$285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2.1088082901554404</c:v>
                      </c:pt>
                      <c:pt idx="1">
                        <c:v>1.8259803921568627</c:v>
                      </c:pt>
                      <c:pt idx="2">
                        <c:v>1.9261363636363635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1.6</c:v>
                      </c:pt>
                      <c:pt idx="8">
                        <c:v>2.52</c:v>
                      </c:pt>
                      <c:pt idx="9">
                        <c:v>1.65</c:v>
                      </c:pt>
                      <c:pt idx="10">
                        <c:v>1.8148148148148149</c:v>
                      </c:pt>
                      <c:pt idx="11">
                        <c:v>1.9583333333333333</c:v>
                      </c:pt>
                      <c:pt idx="12">
                        <c:v>1.9644484958979034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0A1A-4349-BAE5-7872073C1B7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menusual lugar resd'!$N$272</c:f>
              <c:strCache>
                <c:ptCount val="1"/>
                <c:pt idx="0">
                  <c:v>dif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A1A-4349-BAE5-7872073C1B74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1A-4349-BAE5-7872073C1B74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1A-4349-BAE5-7872073C1B74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1A-4349-BAE5-7872073C1B74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1A-4349-BAE5-7872073C1B74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1A-4349-BAE5-7872073C1B74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1A-4349-BAE5-7872073C1B74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1A-4349-BAE5-7872073C1B74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1A-4349-BAE5-7872073C1B74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1A-4349-BAE5-7872073C1B74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1A-4349-BAE5-7872073C1B74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1A-4349-BAE5-7872073C1B74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1A-4349-BAE5-7872073C1B74}"/>
              </c:ext>
            </c:extLst>
          </c:dPt>
          <c:cat>
            <c:strRef>
              <c:f>'EM evol menusual lugar resd'!$B$273:$B$284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menusual lugar resd'!$N$273:$N$285</c:f>
              <c:numCache>
                <c:formatCode>0.00</c:formatCode>
                <c:ptCount val="13"/>
                <c:pt idx="0">
                  <c:v>-0.17666736970378683</c:v>
                </c:pt>
                <c:pt idx="1">
                  <c:v>-0.58037323037323052</c:v>
                </c:pt>
                <c:pt idx="2">
                  <c:v>-0.50222375584694445</c:v>
                </c:pt>
                <c:pt idx="3">
                  <c:v>-1.1931207004377735</c:v>
                </c:pt>
                <c:pt idx="4">
                  <c:v>1.0154589371980678</c:v>
                </c:pt>
                <c:pt idx="5">
                  <c:v>1.0250836120401337</c:v>
                </c:pt>
                <c:pt idx="12">
                  <c:v>-0.43496989573645317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0A1A-4349-BAE5-7872073C1B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492-4367-BF7D-EC5DDF362901}"/>
              </c:ext>
            </c:extLst>
          </c:dPt>
          <c:val>
            <c:numRef>
              <c:f>'EM evol mensu TF cat '!$I$9:$I$21</c:f>
              <c:numCache>
                <c:formatCode>0.00</c:formatCode>
                <c:ptCount val="13"/>
                <c:pt idx="0">
                  <c:v>2.5235291626074803</c:v>
                </c:pt>
                <c:pt idx="1">
                  <c:v>2.2917233809001099</c:v>
                </c:pt>
                <c:pt idx="2">
                  <c:v>2.3180265353142131</c:v>
                </c:pt>
                <c:pt idx="3">
                  <c:v>2.2301869061292678</c:v>
                </c:pt>
                <c:pt idx="4">
                  <c:v>2.3830322688887646</c:v>
                </c:pt>
                <c:pt idx="5">
                  <c:v>2.1486403825835509</c:v>
                </c:pt>
                <c:pt idx="6">
                  <c:v>2.4037477691850091</c:v>
                </c:pt>
                <c:pt idx="7">
                  <c:v>2.8928833455612621</c:v>
                </c:pt>
                <c:pt idx="8">
                  <c:v>2.5199899579489111</c:v>
                </c:pt>
                <c:pt idx="9">
                  <c:v>2.3996983408748114</c:v>
                </c:pt>
                <c:pt idx="10">
                  <c:v>2.3657835805129506</c:v>
                </c:pt>
                <c:pt idx="11">
                  <c:v>2.5818146474218788</c:v>
                </c:pt>
                <c:pt idx="12">
                  <c:v>2.410875374829053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92-4367-BF7D-EC5DDF362901}"/>
            </c:ext>
          </c:extLst>
        </c:ser>
        <c:ser>
          <c:idx val="0"/>
          <c:order val="2"/>
          <c:tx>
            <c:strRef>
              <c:f>'EM evol mensu TF cat 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492-4367-BF7D-EC5DDF36290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'!$K$9:$K$21</c:f>
              <c:numCache>
                <c:formatCode>0.00</c:formatCode>
                <c:ptCount val="13"/>
                <c:pt idx="0">
                  <c:v>2.6250052373570201</c:v>
                </c:pt>
                <c:pt idx="1">
                  <c:v>2.4732375690607733</c:v>
                </c:pt>
                <c:pt idx="2">
                  <c:v>2.5529145444255801</c:v>
                </c:pt>
                <c:pt idx="3">
                  <c:v>2.4243523043775292</c:v>
                </c:pt>
                <c:pt idx="4">
                  <c:v>2.197144331670394</c:v>
                </c:pt>
                <c:pt idx="5">
                  <c:v>2.0572924688125673</c:v>
                </c:pt>
                <c:pt idx="6">
                  <c:v>2.0914386094674557</c:v>
                </c:pt>
                <c:pt idx="7">
                  <c:v>2.8021182816919938</c:v>
                </c:pt>
                <c:pt idx="8">
                  <c:v>2.2043213975583593</c:v>
                </c:pt>
                <c:pt idx="9">
                  <c:v>2.2301287686818019</c:v>
                </c:pt>
                <c:pt idx="10">
                  <c:v>2.1195535180386686</c:v>
                </c:pt>
                <c:pt idx="11">
                  <c:v>2.241869341020748</c:v>
                </c:pt>
                <c:pt idx="12">
                  <c:v>2.328977841201255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492-4367-BF7D-EC5DDF362901}"/>
            </c:ext>
          </c:extLst>
        </c:ser>
        <c:ser>
          <c:idx val="1"/>
          <c:order val="3"/>
          <c:tx>
            <c:strRef>
              <c:f>'EM evol mensu TF cat 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492-4367-BF7D-EC5DDF362901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492-4367-BF7D-EC5DDF362901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'!$M$9:$M$21</c:f>
              <c:numCache>
                <c:formatCode>0.00</c:formatCode>
                <c:ptCount val="13"/>
                <c:pt idx="0">
                  <c:v>2.3200146329566702</c:v>
                </c:pt>
                <c:pt idx="1">
                  <c:v>2.1117708416914067</c:v>
                </c:pt>
                <c:pt idx="2">
                  <c:v>2.1110739128817468</c:v>
                </c:pt>
                <c:pt idx="3">
                  <c:v>2.2593373927218678</c:v>
                </c:pt>
                <c:pt idx="4">
                  <c:v>2.0151193633952253</c:v>
                </c:pt>
                <c:pt idx="5">
                  <c:v>2.0359794950414409</c:v>
                </c:pt>
                <c:pt idx="12">
                  <c:v>2.1431291337799534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492-4367-BF7D-EC5DDF362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492-4367-BF7D-EC5DDF362901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'!$C$9:$C$21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2.2460468058191019</c:v>
                      </c:pt>
                      <c:pt idx="1">
                        <c:v>2.2190549563430921</c:v>
                      </c:pt>
                      <c:pt idx="2">
                        <c:v>2.2663384064458372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2.2469008264462809</c:v>
                      </c:pt>
                      <c:pt idx="8">
                        <c:v>1.9535228344335174</c:v>
                      </c:pt>
                      <c:pt idx="9">
                        <c:v>1.8614755861475587</c:v>
                      </c:pt>
                      <c:pt idx="10">
                        <c:v>1.8271224086870681</c:v>
                      </c:pt>
                      <c:pt idx="11">
                        <c:v>1.945705257110026</c:v>
                      </c:pt>
                      <c:pt idx="12">
                        <c:v>2.0931353607171839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492-4367-BF7D-EC5DDF36290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'!$N$8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492-4367-BF7D-EC5DDF362901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492-4367-BF7D-EC5DDF362901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492-4367-BF7D-EC5DDF362901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492-4367-BF7D-EC5DDF362901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492-4367-BF7D-EC5DDF362901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92-4367-BF7D-EC5DDF362901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92-4367-BF7D-EC5DDF362901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92-4367-BF7D-EC5DDF362901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92-4367-BF7D-EC5DDF362901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92-4367-BF7D-EC5DDF362901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92-4367-BF7D-EC5DDF362901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92-4367-BF7D-EC5DDF362901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92-4367-BF7D-EC5DDF362901}"/>
              </c:ext>
            </c:extLst>
          </c:dPt>
          <c:cat>
            <c:strRef>
              <c:f>'EM evol mensu TF cat 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'!$N$9:$N$21</c:f>
              <c:numCache>
                <c:formatCode>0.00</c:formatCode>
                <c:ptCount val="13"/>
                <c:pt idx="0">
                  <c:v>-0.30499060440034986</c:v>
                </c:pt>
                <c:pt idx="1">
                  <c:v>-0.36146672736936658</c:v>
                </c:pt>
                <c:pt idx="2">
                  <c:v>-0.44184063154383324</c:v>
                </c:pt>
                <c:pt idx="3">
                  <c:v>-0.1650149116556614</c:v>
                </c:pt>
                <c:pt idx="4">
                  <c:v>-0.18202496827516867</c:v>
                </c:pt>
                <c:pt idx="5">
                  <c:v>-2.1312973771126398E-2</c:v>
                </c:pt>
                <c:pt idx="12">
                  <c:v>-0.2631702043908466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492-4367-BF7D-EC5DDF3629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0624332445310046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A38-4FAA-97CC-4F79C2101C2D}"/>
              </c:ext>
            </c:extLst>
          </c:dPt>
          <c:val>
            <c:numRef>
              <c:f>'EM evol mensu TF cat '!$I$31:$I$43</c:f>
              <c:numCache>
                <c:formatCode>0.00</c:formatCode>
                <c:ptCount val="13"/>
                <c:pt idx="0">
                  <c:v>2.5235291626074803</c:v>
                </c:pt>
                <c:pt idx="1">
                  <c:v>2.2917233809001099</c:v>
                </c:pt>
                <c:pt idx="2">
                  <c:v>2.3180265353142131</c:v>
                </c:pt>
                <c:pt idx="3">
                  <c:v>2.2301869061292678</c:v>
                </c:pt>
                <c:pt idx="4">
                  <c:v>2.3830322688887646</c:v>
                </c:pt>
                <c:pt idx="5">
                  <c:v>2.1486403825835509</c:v>
                </c:pt>
                <c:pt idx="6">
                  <c:v>2.4037477691850091</c:v>
                </c:pt>
                <c:pt idx="7">
                  <c:v>2.8928833455612621</c:v>
                </c:pt>
                <c:pt idx="8">
                  <c:v>2.5199899579489111</c:v>
                </c:pt>
                <c:pt idx="9">
                  <c:v>2.3996983408748114</c:v>
                </c:pt>
                <c:pt idx="10">
                  <c:v>2.3657835805129506</c:v>
                </c:pt>
                <c:pt idx="11">
                  <c:v>2.5818146474218788</c:v>
                </c:pt>
                <c:pt idx="12">
                  <c:v>2.410875374829053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A38-4FAA-97CC-4F79C2101C2D}"/>
            </c:ext>
          </c:extLst>
        </c:ser>
        <c:ser>
          <c:idx val="0"/>
          <c:order val="2"/>
          <c:tx>
            <c:strRef>
              <c:f>'EM evol mensu TF cat 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A38-4FAA-97CC-4F79C2101C2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'!$K$31:$K$43</c:f>
              <c:numCache>
                <c:formatCode>0.00</c:formatCode>
                <c:ptCount val="13"/>
                <c:pt idx="0">
                  <c:v>2.6250052373570201</c:v>
                </c:pt>
                <c:pt idx="1">
                  <c:v>2.4732375690607733</c:v>
                </c:pt>
                <c:pt idx="2">
                  <c:v>2.5529145444255801</c:v>
                </c:pt>
                <c:pt idx="3">
                  <c:v>2.4243523043775292</c:v>
                </c:pt>
                <c:pt idx="4">
                  <c:v>2.197144331670394</c:v>
                </c:pt>
                <c:pt idx="5">
                  <c:v>2.0572924688125673</c:v>
                </c:pt>
                <c:pt idx="6">
                  <c:v>2.0914386094674557</c:v>
                </c:pt>
                <c:pt idx="7">
                  <c:v>2.8021182816919938</c:v>
                </c:pt>
                <c:pt idx="8">
                  <c:v>2.2043213975583593</c:v>
                </c:pt>
                <c:pt idx="9">
                  <c:v>2.2301287686818019</c:v>
                </c:pt>
                <c:pt idx="10">
                  <c:v>2.1195535180386686</c:v>
                </c:pt>
                <c:pt idx="11">
                  <c:v>2.241869341020748</c:v>
                </c:pt>
                <c:pt idx="12">
                  <c:v>2.328977841201255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A38-4FAA-97CC-4F79C2101C2D}"/>
            </c:ext>
          </c:extLst>
        </c:ser>
        <c:ser>
          <c:idx val="1"/>
          <c:order val="3"/>
          <c:tx>
            <c:strRef>
              <c:f>'EM evol mensu TF cat 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A38-4FAA-97CC-4F79C2101C2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AA38-4FAA-97CC-4F79C2101C2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'!$M$31:$M$43</c:f>
              <c:numCache>
                <c:formatCode>0.00</c:formatCode>
                <c:ptCount val="13"/>
                <c:pt idx="0">
                  <c:v>2.3200146329566702</c:v>
                </c:pt>
                <c:pt idx="1">
                  <c:v>2.1117708416914067</c:v>
                </c:pt>
                <c:pt idx="2">
                  <c:v>2.1110739128817468</c:v>
                </c:pt>
                <c:pt idx="3">
                  <c:v>2.2593373927218678</c:v>
                </c:pt>
                <c:pt idx="4">
                  <c:v>2.0151193633952253</c:v>
                </c:pt>
                <c:pt idx="5">
                  <c:v>2.0359794950414409</c:v>
                </c:pt>
                <c:pt idx="12">
                  <c:v>2.1431291337799534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A38-4FAA-97CC-4F79C2101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AA38-4FAA-97CC-4F79C2101C2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'!$C$31:$C$43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2.2460468058191019</c:v>
                      </c:pt>
                      <c:pt idx="1">
                        <c:v>2.2190549563430921</c:v>
                      </c:pt>
                      <c:pt idx="2">
                        <c:v>2.2663384064458372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2.2469008264462809</c:v>
                      </c:pt>
                      <c:pt idx="8">
                        <c:v>1.9535228344335174</c:v>
                      </c:pt>
                      <c:pt idx="9">
                        <c:v>1.8614755861475587</c:v>
                      </c:pt>
                      <c:pt idx="10">
                        <c:v>1.8271224086870681</c:v>
                      </c:pt>
                      <c:pt idx="11">
                        <c:v>1.945705257110026</c:v>
                      </c:pt>
                      <c:pt idx="12">
                        <c:v>2.0931353607171839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AA38-4FAA-97CC-4F79C2101C2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'!$N$30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A38-4FAA-97CC-4F79C2101C2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A38-4FAA-97CC-4F79C2101C2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38-4FAA-97CC-4F79C2101C2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38-4FAA-97CC-4F79C2101C2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38-4FAA-97CC-4F79C2101C2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38-4FAA-97CC-4F79C2101C2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38-4FAA-97CC-4F79C2101C2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38-4FAA-97CC-4F79C2101C2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38-4FAA-97CC-4F79C2101C2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38-4FAA-97CC-4F79C2101C2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38-4FAA-97CC-4F79C2101C2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38-4FAA-97CC-4F79C2101C2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38-4FAA-97CC-4F79C2101C2D}"/>
              </c:ext>
            </c:extLst>
          </c:dPt>
          <c:cat>
            <c:strRef>
              <c:f>'EM evol mensu TF cat 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'!$N$31:$N$43</c:f>
              <c:numCache>
                <c:formatCode>0.00</c:formatCode>
                <c:ptCount val="13"/>
                <c:pt idx="0">
                  <c:v>-0.30499060440034986</c:v>
                </c:pt>
                <c:pt idx="1">
                  <c:v>-0.36146672736936658</c:v>
                </c:pt>
                <c:pt idx="2">
                  <c:v>-0.44184063154383324</c:v>
                </c:pt>
                <c:pt idx="3">
                  <c:v>-0.1650149116556614</c:v>
                </c:pt>
                <c:pt idx="4">
                  <c:v>-0.18202496827516867</c:v>
                </c:pt>
                <c:pt idx="5">
                  <c:v>-2.1312973771126398E-2</c:v>
                </c:pt>
                <c:pt idx="12">
                  <c:v>-0.2631702043908466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A38-4FAA-97CC-4F79C2101C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1187294267900032"/>
          <c:w val="0.86939722222222227"/>
          <c:h val="0.42070463713947498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3B-4077-BA72-3198E66E8B9D}"/>
              </c:ext>
            </c:extLst>
          </c:dPt>
          <c:val>
            <c:numRef>
              <c:f>'EM evol mensu TF cat '!$I$53:$I$65</c:f>
              <c:numCache>
                <c:formatCode>0.00</c:formatCode>
                <c:ptCount val="13"/>
                <c:pt idx="0">
                  <c:v>2.5357270326218861</c:v>
                </c:pt>
                <c:pt idx="1">
                  <c:v>2.3779191670884248</c:v>
                </c:pt>
                <c:pt idx="2">
                  <c:v>2.280765423952491</c:v>
                </c:pt>
                <c:pt idx="3">
                  <c:v>2.3284384871510286</c:v>
                </c:pt>
                <c:pt idx="4">
                  <c:v>2.3221131369798971</c:v>
                </c:pt>
                <c:pt idx="5">
                  <c:v>2.2037364798426746</c:v>
                </c:pt>
                <c:pt idx="6">
                  <c:v>2.604031533779064</c:v>
                </c:pt>
                <c:pt idx="7">
                  <c:v>3.0982964765633265</c:v>
                </c:pt>
                <c:pt idx="8">
                  <c:v>2.7898680738786279</c:v>
                </c:pt>
                <c:pt idx="9">
                  <c:v>2.3949275362318843</c:v>
                </c:pt>
                <c:pt idx="10">
                  <c:v>2.2942457436980335</c:v>
                </c:pt>
                <c:pt idx="11">
                  <c:v>2.485259025479178</c:v>
                </c:pt>
                <c:pt idx="12">
                  <c:v>2.4542389639995332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3B-4077-BA72-3198E66E8B9D}"/>
            </c:ext>
          </c:extLst>
        </c:ser>
        <c:ser>
          <c:idx val="0"/>
          <c:order val="2"/>
          <c:tx>
            <c:strRef>
              <c:f>'EM evol mensu TF cat 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3B-4077-BA72-3198E66E8B9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'!$K$53:$K$65</c:f>
              <c:numCache>
                <c:formatCode>0.00</c:formatCode>
                <c:ptCount val="13"/>
                <c:pt idx="0">
                  <c:v>2.677678115656676</c:v>
                </c:pt>
                <c:pt idx="1">
                  <c:v>2.5754752996869512</c:v>
                </c:pt>
                <c:pt idx="2">
                  <c:v>2.5351388153415537</c:v>
                </c:pt>
                <c:pt idx="3">
                  <c:v>2.5466188983430365</c:v>
                </c:pt>
                <c:pt idx="4">
                  <c:v>2.2173870526109916</c:v>
                </c:pt>
                <c:pt idx="5">
                  <c:v>2.1963106971697259</c:v>
                </c:pt>
                <c:pt idx="6">
                  <c:v>2.2843620744511615</c:v>
                </c:pt>
                <c:pt idx="7">
                  <c:v>3.2368137782561894</c:v>
                </c:pt>
                <c:pt idx="8">
                  <c:v>2.3288418350978506</c:v>
                </c:pt>
                <c:pt idx="9">
                  <c:v>2.3148834336884359</c:v>
                </c:pt>
                <c:pt idx="10">
                  <c:v>2.2874057456222348</c:v>
                </c:pt>
                <c:pt idx="11">
                  <c:v>2.4197963287280273</c:v>
                </c:pt>
                <c:pt idx="12">
                  <c:v>2.4544757219279627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3B-4077-BA72-3198E66E8B9D}"/>
            </c:ext>
          </c:extLst>
        </c:ser>
        <c:ser>
          <c:idx val="1"/>
          <c:order val="3"/>
          <c:tx>
            <c:strRef>
              <c:f>'EM evol mensu TF cat 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53B-4077-BA72-3198E66E8B9D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B53B-4077-BA72-3198E66E8B9D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'!$M$53:$M$65</c:f>
              <c:numCache>
                <c:formatCode>0.00</c:formatCode>
                <c:ptCount val="13"/>
                <c:pt idx="0">
                  <c:v>2.5616615067079462</c:v>
                </c:pt>
                <c:pt idx="1">
                  <c:v>2.3074914001783666</c:v>
                </c:pt>
                <c:pt idx="2">
                  <c:v>2.2286604720955734</c:v>
                </c:pt>
                <c:pt idx="3">
                  <c:v>2.4463859020310634</c:v>
                </c:pt>
                <c:pt idx="4">
                  <c:v>2.0691586350612137</c:v>
                </c:pt>
                <c:pt idx="5">
                  <c:v>2.0636521739130433</c:v>
                </c:pt>
                <c:pt idx="12">
                  <c:v>2.2777026142364596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53B-4077-BA72-3198E66E8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B53B-4077-BA72-3198E66E8B9D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'!$C$53:$C$65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2.4191376017690218</c:v>
                      </c:pt>
                      <c:pt idx="1">
                        <c:v>2.3082387594212941</c:v>
                      </c:pt>
                      <c:pt idx="2">
                        <c:v>2.3149999999999999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2.3061282123693871</c:v>
                      </c:pt>
                      <c:pt idx="8">
                        <c:v>1.9505984211866565</c:v>
                      </c:pt>
                      <c:pt idx="9">
                        <c:v>1.797002997002997</c:v>
                      </c:pt>
                      <c:pt idx="10">
                        <c:v>1.7940783615316118</c:v>
                      </c:pt>
                      <c:pt idx="11">
                        <c:v>1.9831704668838219</c:v>
                      </c:pt>
                      <c:pt idx="12">
                        <c:v>2.1365079944513399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B53B-4077-BA72-3198E66E8B9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'!$N$52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53B-4077-BA72-3198E66E8B9D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53B-4077-BA72-3198E66E8B9D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53B-4077-BA72-3198E66E8B9D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53B-4077-BA72-3198E66E8B9D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53B-4077-BA72-3198E66E8B9D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53B-4077-BA72-3198E66E8B9D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53B-4077-BA72-3198E66E8B9D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53B-4077-BA72-3198E66E8B9D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3B-4077-BA72-3198E66E8B9D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3B-4077-BA72-3198E66E8B9D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3B-4077-BA72-3198E66E8B9D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3B-4077-BA72-3198E66E8B9D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3B-4077-BA72-3198E66E8B9D}"/>
              </c:ext>
            </c:extLst>
          </c:dPt>
          <c:cat>
            <c:strRef>
              <c:f>'EM evol mensu TF cat 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'!$N$53:$N$65</c:f>
              <c:numCache>
                <c:formatCode>0.00</c:formatCode>
                <c:ptCount val="13"/>
                <c:pt idx="0">
                  <c:v>-0.11601660894872978</c:v>
                </c:pt>
                <c:pt idx="1">
                  <c:v>-0.26798389950858459</c:v>
                </c:pt>
                <c:pt idx="2">
                  <c:v>-0.30647834324598033</c:v>
                </c:pt>
                <c:pt idx="3">
                  <c:v>-0.10023299631197302</c:v>
                </c:pt>
                <c:pt idx="4">
                  <c:v>-0.14822841754977789</c:v>
                </c:pt>
                <c:pt idx="5">
                  <c:v>-0.13265852325668259</c:v>
                </c:pt>
                <c:pt idx="12">
                  <c:v>-0.19693141769002942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B53B-4077-BA72-3198E66E8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'EM evol mensu TF cat 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18F-48CD-B335-6EA158E59B7F}"/>
              </c:ext>
            </c:extLst>
          </c:dPt>
          <c:val>
            <c:numRef>
              <c:f>'EM evol mensu TF cat '!$I$75:$I$87</c:f>
              <c:numCache>
                <c:formatCode>0.00</c:formatCode>
                <c:ptCount val="13"/>
                <c:pt idx="0">
                  <c:v>2.5057291666666668</c:v>
                </c:pt>
                <c:pt idx="1">
                  <c:v>2.1584302325581395</c:v>
                </c:pt>
                <c:pt idx="2">
                  <c:v>2.374388661543068</c:v>
                </c:pt>
                <c:pt idx="3">
                  <c:v>2.0755274828652062</c:v>
                </c:pt>
                <c:pt idx="4">
                  <c:v>2.4736988588922904</c:v>
                </c:pt>
                <c:pt idx="5">
                  <c:v>2.0769230769230771</c:v>
                </c:pt>
                <c:pt idx="6">
                  <c:v>2.1081160701134189</c:v>
                </c:pt>
                <c:pt idx="7">
                  <c:v>2.5425839047275351</c:v>
                </c:pt>
                <c:pt idx="8">
                  <c:v>2.1240322081139671</c:v>
                </c:pt>
                <c:pt idx="9">
                  <c:v>2.4078617596623135</c:v>
                </c:pt>
                <c:pt idx="10">
                  <c:v>2.4931281569364501</c:v>
                </c:pt>
                <c:pt idx="11">
                  <c:v>2.7471658317954124</c:v>
                </c:pt>
                <c:pt idx="12">
                  <c:v>2.3433113659705582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8F-48CD-B335-6EA158E59B7F}"/>
            </c:ext>
          </c:extLst>
        </c:ser>
        <c:ser>
          <c:idx val="0"/>
          <c:order val="2"/>
          <c:tx>
            <c:strRef>
              <c:f>'EM evol mensu TF cat 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18F-48CD-B335-6EA158E59B7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'!$K$75:$K$87</c:f>
              <c:numCache>
                <c:formatCode>0.00</c:formatCode>
                <c:ptCount val="13"/>
                <c:pt idx="0">
                  <c:v>2.5538703959030924</c:v>
                </c:pt>
                <c:pt idx="1">
                  <c:v>2.3327036104114192</c:v>
                </c:pt>
                <c:pt idx="2">
                  <c:v>2.5770098441345364</c:v>
                </c:pt>
                <c:pt idx="3">
                  <c:v>2.250762970498474</c:v>
                </c:pt>
                <c:pt idx="4">
                  <c:v>2.1684458616387077</c:v>
                </c:pt>
                <c:pt idx="5">
                  <c:v>1.8747030878859858</c:v>
                </c:pt>
                <c:pt idx="6">
                  <c:v>1.8237306843267109</c:v>
                </c:pt>
                <c:pt idx="7">
                  <c:v>2.1189308069700559</c:v>
                </c:pt>
                <c:pt idx="8">
                  <c:v>1.9859333239555492</c:v>
                </c:pt>
                <c:pt idx="9">
                  <c:v>2.0581231395895347</c:v>
                </c:pt>
                <c:pt idx="10">
                  <c:v>1.8215313122372205</c:v>
                </c:pt>
                <c:pt idx="11">
                  <c:v>1.9440946591402519</c:v>
                </c:pt>
                <c:pt idx="12">
                  <c:v>2.1385131066597087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18F-48CD-B335-6EA158E59B7F}"/>
            </c:ext>
          </c:extLst>
        </c:ser>
        <c:ser>
          <c:idx val="1"/>
          <c:order val="3"/>
          <c:tx>
            <c:strRef>
              <c:f>'EM evol mensu TF cat 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18F-48CD-B335-6EA158E59B7F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D18F-48CD-B335-6EA158E59B7F}"/>
              </c:ext>
            </c:extLst>
          </c:dPt>
          <c:cat>
            <c:strRef>
              <c:f>'EM evol mensu TF cat 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'EM evol mensu TF cat '!$M$75:$M$87</c:f>
              <c:numCache>
                <c:formatCode>0.00</c:formatCode>
                <c:ptCount val="13"/>
                <c:pt idx="0">
                  <c:v>1.9082215871620136</c:v>
                </c:pt>
                <c:pt idx="1">
                  <c:v>1.7788253142609449</c:v>
                </c:pt>
                <c:pt idx="2">
                  <c:v>1.8978652155713687</c:v>
                </c:pt>
                <c:pt idx="3">
                  <c:v>1.9237776289350301</c:v>
                </c:pt>
                <c:pt idx="4">
                  <c:v>1.9008810572687225</c:v>
                </c:pt>
                <c:pt idx="5">
                  <c:v>1.9747614650661742</c:v>
                </c:pt>
                <c:pt idx="12">
                  <c:v>1.8919749944002118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18F-48CD-B335-6EA158E59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'EM evol mensu TF cat '!$C$73:$D$73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D18F-48CD-B335-6EA158E59B7F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'EM evol mensu TF cat 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'EM evol mensu TF cat '!$C$75:$C$87</c15:sqref>
                        </c15:formulaRef>
                      </c:ext>
                    </c:extLst>
                    <c:numCache>
                      <c:formatCode>0.00</c:formatCode>
                      <c:ptCount val="13"/>
                      <c:pt idx="0">
                        <c:v>2.0836476801207091</c:v>
                      </c:pt>
                      <c:pt idx="1">
                        <c:v>2.1319685305811693</c:v>
                      </c:pt>
                      <c:pt idx="2">
                        <c:v>2.2098646034816247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2.1820710973724884</c:v>
                      </c:pt>
                      <c:pt idx="8">
                        <c:v>1.9568077803203661</c:v>
                      </c:pt>
                      <c:pt idx="9">
                        <c:v>1.9366410435592825</c:v>
                      </c:pt>
                      <c:pt idx="10">
                        <c:v>1.8682170542635659</c:v>
                      </c:pt>
                      <c:pt idx="11">
                        <c:v>1.9035997559487492</c:v>
                      </c:pt>
                      <c:pt idx="12">
                        <c:v>2.044368740765063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D18F-48CD-B335-6EA158E59B7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'EM evol mensu TF cat '!$N$74</c:f>
              <c:strCache>
                <c:ptCount val="1"/>
                <c:pt idx="0">
                  <c:v>def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18F-48CD-B335-6EA158E59B7F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18F-48CD-B335-6EA158E59B7F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18F-48CD-B335-6EA158E59B7F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8F-48CD-B335-6EA158E59B7F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8F-48CD-B335-6EA158E59B7F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8F-48CD-B335-6EA158E59B7F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8F-48CD-B335-6EA158E59B7F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8F-48CD-B335-6EA158E59B7F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8F-48CD-B335-6EA158E59B7F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8F-48CD-B335-6EA158E59B7F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8F-48CD-B335-6EA158E59B7F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18F-48CD-B335-6EA158E59B7F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18F-48CD-B335-6EA158E59B7F}"/>
              </c:ext>
            </c:extLst>
          </c:dPt>
          <c:cat>
            <c:strRef>
              <c:f>'EM evol mensu TF cat '!$B$75:$B$86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'EM evol mensu TF cat '!$N$75:$N$87</c:f>
              <c:numCache>
                <c:formatCode>0.00</c:formatCode>
                <c:ptCount val="13"/>
                <c:pt idx="0">
                  <c:v>-0.64564880874107877</c:v>
                </c:pt>
                <c:pt idx="1">
                  <c:v>-0.55387829615047424</c:v>
                </c:pt>
                <c:pt idx="2">
                  <c:v>-0.67914462856316771</c:v>
                </c:pt>
                <c:pt idx="3">
                  <c:v>-0.32698534156344383</c:v>
                </c:pt>
                <c:pt idx="4">
                  <c:v>-0.2675648043699852</c:v>
                </c:pt>
                <c:pt idx="5">
                  <c:v>0.1000583771801884</c:v>
                </c:pt>
                <c:pt idx="12">
                  <c:v>-0.42075289662773008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18F-48CD-B335-6EA158E59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0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TF'!$I$117:$J$117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89A-4366-8278-B3404260E665}"/>
              </c:ext>
            </c:extLst>
          </c:dPt>
          <c:val>
            <c:numRef>
              <c:f>'Viajeros entr evol mensu TF'!$I$119:$I$131</c:f>
              <c:numCache>
                <c:formatCode>#,##0</c:formatCode>
                <c:ptCount val="13"/>
                <c:pt idx="0">
                  <c:v>1683</c:v>
                </c:pt>
                <c:pt idx="1">
                  <c:v>1254</c:v>
                </c:pt>
                <c:pt idx="2">
                  <c:v>1157</c:v>
                </c:pt>
                <c:pt idx="3">
                  <c:v>609</c:v>
                </c:pt>
                <c:pt idx="4">
                  <c:v>455</c:v>
                </c:pt>
                <c:pt idx="5">
                  <c:v>875</c:v>
                </c:pt>
                <c:pt idx="6">
                  <c:v>662</c:v>
                </c:pt>
                <c:pt idx="7">
                  <c:v>1478</c:v>
                </c:pt>
                <c:pt idx="8">
                  <c:v>508</c:v>
                </c:pt>
                <c:pt idx="9">
                  <c:v>765</c:v>
                </c:pt>
                <c:pt idx="10">
                  <c:v>1068</c:v>
                </c:pt>
                <c:pt idx="11">
                  <c:v>1132</c:v>
                </c:pt>
                <c:pt idx="12">
                  <c:v>11646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89A-4366-8278-B3404260E665}"/>
            </c:ext>
          </c:extLst>
        </c:ser>
        <c:ser>
          <c:idx val="0"/>
          <c:order val="2"/>
          <c:tx>
            <c:strRef>
              <c:f>'Viajeros entr evol mensu TF'!$K$117:$L$117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89A-4366-8278-B3404260E66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TF'!$K$119:$K$131</c:f>
              <c:numCache>
                <c:formatCode>#,##0</c:formatCode>
                <c:ptCount val="13"/>
                <c:pt idx="0">
                  <c:v>1569</c:v>
                </c:pt>
                <c:pt idx="1">
                  <c:v>1571</c:v>
                </c:pt>
                <c:pt idx="2">
                  <c:v>1094</c:v>
                </c:pt>
                <c:pt idx="3">
                  <c:v>736</c:v>
                </c:pt>
                <c:pt idx="4">
                  <c:v>385</c:v>
                </c:pt>
                <c:pt idx="5">
                  <c:v>683</c:v>
                </c:pt>
                <c:pt idx="6">
                  <c:v>605</c:v>
                </c:pt>
                <c:pt idx="7">
                  <c:v>532</c:v>
                </c:pt>
                <c:pt idx="8">
                  <c:v>623</c:v>
                </c:pt>
                <c:pt idx="9">
                  <c:v>620</c:v>
                </c:pt>
                <c:pt idx="10">
                  <c:v>1066</c:v>
                </c:pt>
                <c:pt idx="11">
                  <c:v>1172</c:v>
                </c:pt>
                <c:pt idx="12">
                  <c:v>10656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9A-4366-8278-B3404260E665}"/>
            </c:ext>
          </c:extLst>
        </c:ser>
        <c:ser>
          <c:idx val="1"/>
          <c:order val="3"/>
          <c:tx>
            <c:strRef>
              <c:f>'Viajeros entr evol mensu TF'!$M$117:$N$117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89A-4366-8278-B3404260E665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89A-4366-8278-B3404260E665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TF'!$M$119:$M$131</c:f>
              <c:numCache>
                <c:formatCode>#,##0</c:formatCode>
                <c:ptCount val="13"/>
                <c:pt idx="0">
                  <c:v>1627</c:v>
                </c:pt>
                <c:pt idx="1">
                  <c:v>1243</c:v>
                </c:pt>
                <c:pt idx="2">
                  <c:v>1052</c:v>
                </c:pt>
                <c:pt idx="3">
                  <c:v>732</c:v>
                </c:pt>
                <c:pt idx="4">
                  <c:v>495</c:v>
                </c:pt>
                <c:pt idx="5">
                  <c:v>360</c:v>
                </c:pt>
                <c:pt idx="12">
                  <c:v>5509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89A-4366-8278-B3404260E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TF'!$C$117:$D$117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89A-4366-8278-B3404260E665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TF'!$C$119:$C$131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1289</c:v>
                      </c:pt>
                      <c:pt idx="1">
                        <c:v>1151</c:v>
                      </c:pt>
                      <c:pt idx="2">
                        <c:v>370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104</c:v>
                      </c:pt>
                      <c:pt idx="8">
                        <c:v>105</c:v>
                      </c:pt>
                      <c:pt idx="9">
                        <c:v>148</c:v>
                      </c:pt>
                      <c:pt idx="10">
                        <c:v>294</c:v>
                      </c:pt>
                      <c:pt idx="11">
                        <c:v>245</c:v>
                      </c:pt>
                      <c:pt idx="12">
                        <c:v>3941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89A-4366-8278-B3404260E66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TF'!$N$118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89A-4366-8278-B3404260E665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89A-4366-8278-B3404260E665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89A-4366-8278-B3404260E665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9A-4366-8278-B3404260E665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9A-4366-8278-B3404260E665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9A-4366-8278-B3404260E665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9A-4366-8278-B3404260E665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89A-4366-8278-B3404260E665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89A-4366-8278-B3404260E665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89A-4366-8278-B3404260E665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89A-4366-8278-B3404260E665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89A-4366-8278-B3404260E665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89A-4366-8278-B3404260E665}"/>
              </c:ext>
            </c:extLst>
          </c:dPt>
          <c:cat>
            <c:strRef>
              <c:f>'Viajeros entr evol mensu TF'!$B$119:$B$130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TF'!$N$119:$N$131</c:f>
              <c:numCache>
                <c:formatCode>0.0%</c:formatCode>
                <c:ptCount val="13"/>
                <c:pt idx="0">
                  <c:v>3.696622052262577E-2</c:v>
                </c:pt>
                <c:pt idx="1">
                  <c:v>-0.2087842138765118</c:v>
                </c:pt>
                <c:pt idx="2">
                  <c:v>-3.8391224862888484E-2</c:v>
                </c:pt>
                <c:pt idx="3">
                  <c:v>-5.4347826086956763E-3</c:v>
                </c:pt>
                <c:pt idx="4">
                  <c:v>0.28571428571428581</c:v>
                </c:pt>
                <c:pt idx="5">
                  <c:v>-0.47291361639824303</c:v>
                </c:pt>
                <c:pt idx="12">
                  <c:v>-8.761179198410074E-2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89A-4366-8278-B3404260E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3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7750569674669167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mens'!$I$7:$J$7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363-476F-A070-9FBC5F10BD8B}"/>
              </c:ext>
            </c:extLst>
          </c:dPt>
          <c:val>
            <c:numRef>
              <c:f>'tasa de ocupación evol mens'!$I$9:$I$21</c:f>
              <c:numCache>
                <c:formatCode>0.0%</c:formatCode>
                <c:ptCount val="13"/>
                <c:pt idx="0">
                  <c:v>0.67859999999999998</c:v>
                </c:pt>
                <c:pt idx="1">
                  <c:v>0.6581999999999999</c:v>
                </c:pt>
                <c:pt idx="2">
                  <c:v>0.65930000000000011</c:v>
                </c:pt>
                <c:pt idx="3">
                  <c:v>0.49869999999999998</c:v>
                </c:pt>
                <c:pt idx="4">
                  <c:v>0.48149999999999998</c:v>
                </c:pt>
                <c:pt idx="5">
                  <c:v>0.47020000000000001</c:v>
                </c:pt>
                <c:pt idx="6">
                  <c:v>0.49259999999999998</c:v>
                </c:pt>
                <c:pt idx="7">
                  <c:v>0.52780000000000005</c:v>
                </c:pt>
                <c:pt idx="8">
                  <c:v>0.48670000000000002</c:v>
                </c:pt>
                <c:pt idx="9">
                  <c:v>0.57689999999999997</c:v>
                </c:pt>
                <c:pt idx="10">
                  <c:v>0.67669999999999997</c:v>
                </c:pt>
                <c:pt idx="11">
                  <c:v>0.62139999999999995</c:v>
                </c:pt>
                <c:pt idx="12">
                  <c:v>0.56942335787332776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363-476F-A070-9FBC5F10BD8B}"/>
            </c:ext>
          </c:extLst>
        </c:ser>
        <c:ser>
          <c:idx val="0"/>
          <c:order val="2"/>
          <c:tx>
            <c:strRef>
              <c:f>'tasa de ocupación evol mens'!$K$7:$L$7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363-476F-A070-9FBC5F10BD8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mens'!$K$9:$K$21</c:f>
              <c:numCache>
                <c:formatCode>0.0%</c:formatCode>
                <c:ptCount val="13"/>
                <c:pt idx="0">
                  <c:v>0.73069999999999991</c:v>
                </c:pt>
                <c:pt idx="1">
                  <c:v>0.69579999999999997</c:v>
                </c:pt>
                <c:pt idx="2">
                  <c:v>0.68220000000000003</c:v>
                </c:pt>
                <c:pt idx="3">
                  <c:v>0.55449999999999999</c:v>
                </c:pt>
                <c:pt idx="4">
                  <c:v>0.44569999999999999</c:v>
                </c:pt>
                <c:pt idx="5">
                  <c:v>0.48170000000000002</c:v>
                </c:pt>
                <c:pt idx="6">
                  <c:v>0.52629999999999999</c:v>
                </c:pt>
                <c:pt idx="7">
                  <c:v>0.52239999999999998</c:v>
                </c:pt>
                <c:pt idx="8">
                  <c:v>0.57379999999999998</c:v>
                </c:pt>
                <c:pt idx="9">
                  <c:v>0.52039999999999997</c:v>
                </c:pt>
                <c:pt idx="10">
                  <c:v>0.66159999999999997</c:v>
                </c:pt>
                <c:pt idx="11">
                  <c:v>0.66480000000000006</c:v>
                </c:pt>
                <c:pt idx="12">
                  <c:v>0.58812285219043858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63-476F-A070-9FBC5F10BD8B}"/>
            </c:ext>
          </c:extLst>
        </c:ser>
        <c:ser>
          <c:idx val="1"/>
          <c:order val="3"/>
          <c:tx>
            <c:strRef>
              <c:f>'tasa de ocupación evol mens'!$M$7:$N$7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363-476F-A070-9FBC5F10BD8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E363-476F-A070-9FBC5F10BD8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mens'!$M$9:$M$21</c:f>
              <c:numCache>
                <c:formatCode>0.0%</c:formatCode>
                <c:ptCount val="13"/>
                <c:pt idx="0">
                  <c:v>0.68730000000000002</c:v>
                </c:pt>
                <c:pt idx="1">
                  <c:v>0.70169999999999999</c:v>
                </c:pt>
                <c:pt idx="2">
                  <c:v>0.68340000000000001</c:v>
                </c:pt>
                <c:pt idx="3">
                  <c:v>0.58630000000000004</c:v>
                </c:pt>
                <c:pt idx="4">
                  <c:v>0.54890000000000005</c:v>
                </c:pt>
                <c:pt idx="5">
                  <c:v>0.52880000000000005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363-476F-A070-9FBC5F10B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mens'!$C$7:$D$7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E363-476F-A070-9FBC5F10BD8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mens'!$C$9:$C$21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0.52139999999999997</c:v>
                      </c:pt>
                      <c:pt idx="1">
                        <c:v>0.626</c:v>
                      </c:pt>
                      <c:pt idx="2">
                        <c:v>0.22870000000000001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0.48630000000000001</c:v>
                      </c:pt>
                      <c:pt idx="8">
                        <c:v>0.29170000000000001</c:v>
                      </c:pt>
                      <c:pt idx="9">
                        <c:v>0.33689999999999998</c:v>
                      </c:pt>
                      <c:pt idx="10">
                        <c:v>0.2979</c:v>
                      </c:pt>
                      <c:pt idx="11">
                        <c:v>0.26369999999999999</c:v>
                      </c:pt>
                      <c:pt idx="12">
                        <c:v>0.43917828766012645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E363-476F-A070-9FBC5F10BD8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mens'!$N$8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363-476F-A070-9FBC5F10BD8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363-476F-A070-9FBC5F10BD8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363-476F-A070-9FBC5F10BD8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63-476F-A070-9FBC5F10BD8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63-476F-A070-9FBC5F10BD8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63-476F-A070-9FBC5F10BD8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63-476F-A070-9FBC5F10BD8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363-476F-A070-9FBC5F10BD8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363-476F-A070-9FBC5F10BD8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363-476F-A070-9FBC5F10BD8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363-476F-A070-9FBC5F10BD8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363-476F-A070-9FBC5F10BD8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363-476F-A070-9FBC5F10BD8B}"/>
              </c:ext>
            </c:extLst>
          </c:dPt>
          <c:cat>
            <c:strRef>
              <c:f>'tasa de ocupación evol mens'!$B$9:$B$20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mens'!$N$9:$N$21</c:f>
              <c:numCache>
                <c:formatCode>0.0%</c:formatCode>
                <c:ptCount val="13"/>
                <c:pt idx="0">
                  <c:v>-5.9395100588476635E-2</c:v>
                </c:pt>
                <c:pt idx="1">
                  <c:v>8.4794481172751901E-3</c:v>
                </c:pt>
                <c:pt idx="2">
                  <c:v>1.7590149516271136E-3</c:v>
                </c:pt>
                <c:pt idx="3">
                  <c:v>5.7348963029756561E-2</c:v>
                </c:pt>
                <c:pt idx="4">
                  <c:v>0.23154588288086164</c:v>
                </c:pt>
                <c:pt idx="5">
                  <c:v>9.7778700435956045E-2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363-476F-A070-9FBC5F10BD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739082125603864"/>
          <c:y val="0.15564305555555558"/>
          <c:w val="0.8970059178743961"/>
          <c:h val="0.42248339762898768"/>
        </c:manualLayout>
      </c:layout>
      <c:lineChart>
        <c:grouping val="standard"/>
        <c:varyColors val="0"/>
        <c:ser>
          <c:idx val="3"/>
          <c:order val="0"/>
          <c:tx>
            <c:strRef>
              <c:f>'tasa de ocupación evol mens'!$I$73:$J$73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6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8DA-47BA-951A-16CA4689500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mens'!$I$75:$I$87</c:f>
              <c:numCache>
                <c:formatCode>0.0%</c:formatCode>
                <c:ptCount val="13"/>
                <c:pt idx="0">
                  <c:v>0.67010000000000003</c:v>
                </c:pt>
                <c:pt idx="1">
                  <c:v>0.59540000000000004</c:v>
                </c:pt>
                <c:pt idx="2">
                  <c:v>0.64980000000000004</c:v>
                </c:pt>
                <c:pt idx="3">
                  <c:v>0.43590000000000001</c:v>
                </c:pt>
                <c:pt idx="4">
                  <c:v>0.48549999999999999</c:v>
                </c:pt>
                <c:pt idx="5">
                  <c:v>0.50790000000000002</c:v>
                </c:pt>
                <c:pt idx="6">
                  <c:v>0.47499999999999998</c:v>
                </c:pt>
                <c:pt idx="7">
                  <c:v>0.46520000000000006</c:v>
                </c:pt>
                <c:pt idx="8">
                  <c:v>0.4249</c:v>
                </c:pt>
                <c:pt idx="9">
                  <c:v>0.54320000000000002</c:v>
                </c:pt>
                <c:pt idx="10">
                  <c:v>0.65260000000000007</c:v>
                </c:pt>
                <c:pt idx="11">
                  <c:v>0.62020000000000008</c:v>
                </c:pt>
                <c:pt idx="12">
                  <c:v>0.54569999999999996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8DA-47BA-951A-16CA46895007}"/>
            </c:ext>
          </c:extLst>
        </c:ser>
        <c:ser>
          <c:idx val="0"/>
          <c:order val="1"/>
          <c:tx>
            <c:strRef>
              <c:f>'tasa de ocupación evol mens'!$K$73:$L$73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8DA-47BA-951A-16CA4689500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mens'!$K$75:$K$87</c:f>
              <c:numCache>
                <c:formatCode>0.0%</c:formatCode>
                <c:ptCount val="13"/>
                <c:pt idx="0">
                  <c:v>0.7659999999999999</c:v>
                </c:pt>
                <c:pt idx="1">
                  <c:v>0.72689999999999999</c:v>
                </c:pt>
                <c:pt idx="2">
                  <c:v>0.74239999999999995</c:v>
                </c:pt>
                <c:pt idx="3">
                  <c:v>0.5403</c:v>
                </c:pt>
                <c:pt idx="4">
                  <c:v>0.46200000000000002</c:v>
                </c:pt>
                <c:pt idx="5">
                  <c:v>0.48180000000000001</c:v>
                </c:pt>
                <c:pt idx="6">
                  <c:v>0.48810000000000003</c:v>
                </c:pt>
                <c:pt idx="7">
                  <c:v>0.37380000000000002</c:v>
                </c:pt>
                <c:pt idx="8">
                  <c:v>0.56969999999999998</c:v>
                </c:pt>
                <c:pt idx="9">
                  <c:v>0.51300000000000001</c:v>
                </c:pt>
                <c:pt idx="10">
                  <c:v>0.65959999999999996</c:v>
                </c:pt>
                <c:pt idx="11">
                  <c:v>0.69440000000000002</c:v>
                </c:pt>
                <c:pt idx="12">
                  <c:v>0.58483333333333343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8DA-47BA-951A-16CA46895007}"/>
            </c:ext>
          </c:extLst>
        </c:ser>
        <c:ser>
          <c:idx val="1"/>
          <c:order val="2"/>
          <c:tx>
            <c:strRef>
              <c:f>'tasa de ocupación evol mens'!$M$73:$N$73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8DA-47BA-951A-16CA46895007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mens'!$M$75:$M$87</c:f>
              <c:numCache>
                <c:formatCode>0.0%</c:formatCode>
                <c:ptCount val="13"/>
                <c:pt idx="0">
                  <c:v>0.67310000000000003</c:v>
                </c:pt>
                <c:pt idx="1">
                  <c:v>0.70459999999999989</c:v>
                </c:pt>
                <c:pt idx="2">
                  <c:v>0.70319999999999994</c:v>
                </c:pt>
                <c:pt idx="3">
                  <c:v>0.57540000000000002</c:v>
                </c:pt>
                <c:pt idx="4">
                  <c:v>0.53539999999999999</c:v>
                </c:pt>
                <c:pt idx="5">
                  <c:v>0.5141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8DA-47BA-951A-16CA46895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3"/>
          <c:tx>
            <c:strRef>
              <c:f>'tasa de ocupación evol mens'!$N$74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8DA-47BA-951A-16CA4689500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8DA-47BA-951A-16CA4689500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8DA-47BA-951A-16CA4689500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8DA-47BA-951A-16CA4689500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8DA-47BA-951A-16CA4689500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DA-47BA-951A-16CA4689500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DA-47BA-951A-16CA4689500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DA-47BA-951A-16CA4689500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DA-47BA-951A-16CA4689500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DA-47BA-951A-16CA4689500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DA-47BA-951A-16CA4689500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DA-47BA-951A-16CA4689500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DA-47BA-951A-16CA46895007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mens'!$N$75:$N$87</c:f>
              <c:numCache>
                <c:formatCode>0.0%</c:formatCode>
                <c:ptCount val="13"/>
                <c:pt idx="0">
                  <c:v>-0.12127937336814609</c:v>
                </c:pt>
                <c:pt idx="1">
                  <c:v>-3.0678222589077042E-2</c:v>
                </c:pt>
                <c:pt idx="2">
                  <c:v>-5.280172413793105E-2</c:v>
                </c:pt>
                <c:pt idx="3">
                  <c:v>6.496390893947801E-2</c:v>
                </c:pt>
                <c:pt idx="4">
                  <c:v>0.15887445887445883</c:v>
                </c:pt>
                <c:pt idx="5">
                  <c:v>6.7040265670402555E-2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8DA-47BA-951A-16CA468950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3474552527311315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mens'!$I$29:$J$29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590-44DF-8342-7060B0B4F2FB}"/>
              </c:ext>
            </c:extLst>
          </c:dPt>
          <c:val>
            <c:numRef>
              <c:f>'tasa de ocupación evol mens'!$I$31:$I$43</c:f>
              <c:numCache>
                <c:formatCode>0.0%</c:formatCode>
                <c:ptCount val="13"/>
                <c:pt idx="0">
                  <c:v>0.67859999999999998</c:v>
                </c:pt>
                <c:pt idx="1">
                  <c:v>0.6581999999999999</c:v>
                </c:pt>
                <c:pt idx="2">
                  <c:v>0.65930000000000011</c:v>
                </c:pt>
                <c:pt idx="3">
                  <c:v>0.49869999999999998</c:v>
                </c:pt>
                <c:pt idx="4">
                  <c:v>0.48149999999999998</c:v>
                </c:pt>
                <c:pt idx="5">
                  <c:v>0.47020000000000001</c:v>
                </c:pt>
                <c:pt idx="6">
                  <c:v>0.49259999999999998</c:v>
                </c:pt>
                <c:pt idx="7">
                  <c:v>0.52780000000000005</c:v>
                </c:pt>
                <c:pt idx="8">
                  <c:v>0.48670000000000002</c:v>
                </c:pt>
                <c:pt idx="9">
                  <c:v>0.57689999999999997</c:v>
                </c:pt>
                <c:pt idx="10">
                  <c:v>0.67669999999999997</c:v>
                </c:pt>
                <c:pt idx="11">
                  <c:v>0.62139999999999995</c:v>
                </c:pt>
                <c:pt idx="12">
                  <c:v>0.56942335787332776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590-44DF-8342-7060B0B4F2FB}"/>
            </c:ext>
          </c:extLst>
        </c:ser>
        <c:ser>
          <c:idx val="0"/>
          <c:order val="2"/>
          <c:tx>
            <c:strRef>
              <c:f>'tasa de ocupación evol mens'!$K$29:$L$29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590-44DF-8342-7060B0B4F2F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mens'!$K$31:$K$43</c:f>
              <c:numCache>
                <c:formatCode>0.0%</c:formatCode>
                <c:ptCount val="13"/>
                <c:pt idx="0">
                  <c:v>0.73069999999999991</c:v>
                </c:pt>
                <c:pt idx="1">
                  <c:v>0.7206999999999999</c:v>
                </c:pt>
                <c:pt idx="2">
                  <c:v>0.68220000000000003</c:v>
                </c:pt>
                <c:pt idx="3">
                  <c:v>0.55449999999999999</c:v>
                </c:pt>
                <c:pt idx="4">
                  <c:v>0.44569999999999999</c:v>
                </c:pt>
                <c:pt idx="5">
                  <c:v>0.48170000000000002</c:v>
                </c:pt>
                <c:pt idx="6">
                  <c:v>0.52629999999999999</c:v>
                </c:pt>
                <c:pt idx="7">
                  <c:v>0.52239999999999998</c:v>
                </c:pt>
                <c:pt idx="8">
                  <c:v>0.57379999999999998</c:v>
                </c:pt>
                <c:pt idx="9">
                  <c:v>0.52039999999999997</c:v>
                </c:pt>
                <c:pt idx="10">
                  <c:v>0.66159999999999997</c:v>
                </c:pt>
                <c:pt idx="11">
                  <c:v>0.66480000000000006</c:v>
                </c:pt>
                <c:pt idx="12">
                  <c:v>0.58812285219043858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590-44DF-8342-7060B0B4F2FB}"/>
            </c:ext>
          </c:extLst>
        </c:ser>
        <c:ser>
          <c:idx val="1"/>
          <c:order val="3"/>
          <c:tx>
            <c:strRef>
              <c:f>'tasa de ocupación evol mens'!$M$29:$N$29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590-44DF-8342-7060B0B4F2FB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590-44DF-8342-7060B0B4F2FB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mens'!$M$31:$M$43</c:f>
              <c:numCache>
                <c:formatCode>0.0%</c:formatCode>
                <c:ptCount val="13"/>
                <c:pt idx="0">
                  <c:v>0.68730000000000002</c:v>
                </c:pt>
                <c:pt idx="1">
                  <c:v>0.70169999999999999</c:v>
                </c:pt>
                <c:pt idx="2">
                  <c:v>0.68340000000000001</c:v>
                </c:pt>
                <c:pt idx="3">
                  <c:v>0.58630000000000004</c:v>
                </c:pt>
                <c:pt idx="4">
                  <c:v>0.54890000000000005</c:v>
                </c:pt>
                <c:pt idx="5">
                  <c:v>0.52880000000000005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590-44DF-8342-7060B0B4F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mens'!$C$29:$D$29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590-44DF-8342-7060B0B4F2FB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mens'!$C$31:$C$43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0.52139999999999997</c:v>
                      </c:pt>
                      <c:pt idx="1">
                        <c:v>0.626</c:v>
                      </c:pt>
                      <c:pt idx="2">
                        <c:v>0.22870000000000001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0.48630000000000001</c:v>
                      </c:pt>
                      <c:pt idx="8">
                        <c:v>0.29170000000000001</c:v>
                      </c:pt>
                      <c:pt idx="9">
                        <c:v>0.33689999999999998</c:v>
                      </c:pt>
                      <c:pt idx="10">
                        <c:v>0.2979</c:v>
                      </c:pt>
                      <c:pt idx="11">
                        <c:v>0.26369999999999999</c:v>
                      </c:pt>
                      <c:pt idx="12">
                        <c:v>0.38850000000000001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590-44DF-8342-7060B0B4F2F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mens'!$N$30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590-44DF-8342-7060B0B4F2FB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590-44DF-8342-7060B0B4F2FB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590-44DF-8342-7060B0B4F2FB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90-44DF-8342-7060B0B4F2FB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90-44DF-8342-7060B0B4F2FB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90-44DF-8342-7060B0B4F2FB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590-44DF-8342-7060B0B4F2FB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590-44DF-8342-7060B0B4F2FB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590-44DF-8342-7060B0B4F2FB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590-44DF-8342-7060B0B4F2FB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590-44DF-8342-7060B0B4F2FB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590-44DF-8342-7060B0B4F2FB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590-44DF-8342-7060B0B4F2FB}"/>
              </c:ext>
            </c:extLst>
          </c:dPt>
          <c:cat>
            <c:strRef>
              <c:f>'tasa de ocupación evol mens'!$B$31:$B$42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mens'!$N$31:$N$43</c:f>
              <c:numCache>
                <c:formatCode>0.0%</c:formatCode>
                <c:ptCount val="13"/>
                <c:pt idx="0">
                  <c:v>-5.9395100588476635E-2</c:v>
                </c:pt>
                <c:pt idx="1">
                  <c:v>-2.6363257943665785E-2</c:v>
                </c:pt>
                <c:pt idx="2">
                  <c:v>1.7590149516271136E-3</c:v>
                </c:pt>
                <c:pt idx="3">
                  <c:v>5.7348963029756561E-2</c:v>
                </c:pt>
                <c:pt idx="4">
                  <c:v>0.23154588288086164</c:v>
                </c:pt>
                <c:pt idx="5">
                  <c:v>9.7778700435956045E-2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590-44DF-8342-7060B0B4F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9304380456516"/>
          <c:y val="0.15001701508510548"/>
          <c:w val="0.87120700483091784"/>
          <c:h val="0.42248339762898768"/>
        </c:manualLayout>
      </c:layout>
      <c:lineChart>
        <c:grouping val="standard"/>
        <c:varyColors val="0"/>
        <c:ser>
          <c:idx val="5"/>
          <c:order val="1"/>
          <c:tx>
            <c:strRef>
              <c:f>'tasa de ocupación evol mens'!$I$51:$J$51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15-4E45-93A2-DF6EB5786D90}"/>
              </c:ext>
            </c:extLst>
          </c:dPt>
          <c:val>
            <c:numRef>
              <c:f>'tasa de ocupación evol mens'!$I$53:$I$65</c:f>
              <c:numCache>
                <c:formatCode>0.0%</c:formatCode>
                <c:ptCount val="13"/>
                <c:pt idx="0">
                  <c:v>0.6845</c:v>
                </c:pt>
                <c:pt idx="1">
                  <c:v>0.70169999999999999</c:v>
                </c:pt>
                <c:pt idx="2">
                  <c:v>0.66610000000000003</c:v>
                </c:pt>
                <c:pt idx="3">
                  <c:v>0.54310000000000003</c:v>
                </c:pt>
                <c:pt idx="4">
                  <c:v>0.47859999999999997</c:v>
                </c:pt>
                <c:pt idx="5">
                  <c:v>0.44630000000000003</c:v>
                </c:pt>
                <c:pt idx="6">
                  <c:v>0.50290000000000001</c:v>
                </c:pt>
                <c:pt idx="7">
                  <c:v>0.56430000000000002</c:v>
                </c:pt>
                <c:pt idx="8">
                  <c:v>0.52639999999999998</c:v>
                </c:pt>
                <c:pt idx="9">
                  <c:v>0.59870000000000001</c:v>
                </c:pt>
                <c:pt idx="10">
                  <c:v>0.69230000000000003</c:v>
                </c:pt>
                <c:pt idx="11">
                  <c:v>0.62219999999999998</c:v>
                </c:pt>
                <c:pt idx="12">
                  <c:v>0.55261090702655957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15-4E45-93A2-DF6EB5786D90}"/>
            </c:ext>
          </c:extLst>
        </c:ser>
        <c:ser>
          <c:idx val="0"/>
          <c:order val="2"/>
          <c:tx>
            <c:strRef>
              <c:f>'tasa de ocupación evol mens'!$K$51:$L$51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15-4E45-93A2-DF6EB5786D9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mens'!$K$53:$K$65</c:f>
              <c:numCache>
                <c:formatCode>0.0%</c:formatCode>
                <c:ptCount val="13"/>
                <c:pt idx="0">
                  <c:v>0.70760000000000001</c:v>
                </c:pt>
                <c:pt idx="1">
                  <c:v>0.71660000000000001</c:v>
                </c:pt>
                <c:pt idx="2">
                  <c:v>0.6431</c:v>
                </c:pt>
                <c:pt idx="3">
                  <c:v>0.56380000000000008</c:v>
                </c:pt>
                <c:pt idx="4">
                  <c:v>0.43509999999999999</c:v>
                </c:pt>
                <c:pt idx="5">
                  <c:v>0.48159999999999997</c:v>
                </c:pt>
                <c:pt idx="6">
                  <c:v>0.55110000000000003</c:v>
                </c:pt>
                <c:pt idx="7">
                  <c:v>0.62619999999999998</c:v>
                </c:pt>
                <c:pt idx="8">
                  <c:v>0.57579999999999998</c:v>
                </c:pt>
                <c:pt idx="9">
                  <c:v>0.52369999999999994</c:v>
                </c:pt>
                <c:pt idx="10">
                  <c:v>0.66239999999999999</c:v>
                </c:pt>
                <c:pt idx="11">
                  <c:v>0.65159999999999996</c:v>
                </c:pt>
                <c:pt idx="12">
                  <c:v>0.58497896924763915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15-4E45-93A2-DF6EB5786D90}"/>
            </c:ext>
          </c:extLst>
        </c:ser>
        <c:ser>
          <c:idx val="1"/>
          <c:order val="3"/>
          <c:tx>
            <c:strRef>
              <c:f>'tasa de ocupación evol mens'!$M$51:$N$51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rgbClr val="58B6C0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15-4E45-93A2-DF6EB5786D90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4E15-4E45-93A2-DF6EB5786D90}"/>
              </c:ext>
            </c:extLst>
          </c:dPt>
          <c:cat>
            <c:strRef>
              <c:f>'tasa de ocupación evol mens'!$A$9:$A$21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'tasa de ocupación evol mens'!$M$53:$M$65</c:f>
              <c:numCache>
                <c:formatCode>0.0%</c:formatCode>
                <c:ptCount val="13"/>
                <c:pt idx="0">
                  <c:v>0.69359999999999999</c:v>
                </c:pt>
                <c:pt idx="1">
                  <c:v>0.70040000000000002</c:v>
                </c:pt>
                <c:pt idx="2">
                  <c:v>0.6744</c:v>
                </c:pt>
                <c:pt idx="3">
                  <c:v>0.59130000000000005</c:v>
                </c:pt>
                <c:pt idx="4">
                  <c:v>0.55490000000000006</c:v>
                </c:pt>
                <c:pt idx="5">
                  <c:v>0.53539999999999999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4E15-4E45-93A2-DF6EB5786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'tasa de ocupación evol mens'!$C$51:$D$51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4E15-4E45-93A2-DF6EB5786D90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'tasa de ocupación evol mens'!$A$9:$A$21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'tasa de ocupación evol mens'!$C$53:$C$65</c15:sqref>
                        </c15:formulaRef>
                      </c:ext>
                    </c:extLst>
                    <c:numCache>
                      <c:formatCode>0.0%</c:formatCode>
                      <c:ptCount val="13"/>
                      <c:pt idx="0">
                        <c:v>0.52039999999999997</c:v>
                      </c:pt>
                      <c:pt idx="1">
                        <c:v>0.61580000000000001</c:v>
                      </c:pt>
                      <c:pt idx="2">
                        <c:v>0.2402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0.53979999999999995</c:v>
                      </c:pt>
                      <c:pt idx="8">
                        <c:v>0.27250000000000002</c:v>
                      </c:pt>
                      <c:pt idx="9">
                        <c:v>0.30959999999999999</c:v>
                      </c:pt>
                      <c:pt idx="10">
                        <c:v>0.28670000000000001</c:v>
                      </c:pt>
                      <c:pt idx="11">
                        <c:v>0.2515</c:v>
                      </c:pt>
                      <c:pt idx="12">
                        <c:v>0.53115642802858176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4E15-4E45-93A2-DF6EB5786D9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'tasa de ocupación evol mens'!$N$52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E15-4E45-93A2-DF6EB5786D90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E15-4E45-93A2-DF6EB5786D90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E15-4E45-93A2-DF6EB5786D90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E15-4E45-93A2-DF6EB5786D90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E15-4E45-93A2-DF6EB5786D90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E15-4E45-93A2-DF6EB5786D90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E15-4E45-93A2-DF6EB5786D90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E15-4E45-93A2-DF6EB5786D90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E15-4E45-93A2-DF6EB5786D90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E15-4E45-93A2-DF6EB5786D90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E15-4E45-93A2-DF6EB5786D90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E15-4E45-93A2-DF6EB5786D90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E15-4E45-93A2-DF6EB5786D90}"/>
              </c:ext>
            </c:extLst>
          </c:dPt>
          <c:cat>
            <c:strRef>
              <c:f>'tasa de ocupación evol mens'!$B$53:$B$64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'tasa de ocupación evol mens'!$N$53:$N$65</c:f>
              <c:numCache>
                <c:formatCode>0.0%</c:formatCode>
                <c:ptCount val="13"/>
                <c:pt idx="0">
                  <c:v>-1.9785189372526824E-2</c:v>
                </c:pt>
                <c:pt idx="1">
                  <c:v>-2.260675411666202E-2</c:v>
                </c:pt>
                <c:pt idx="2">
                  <c:v>4.8670502254703818E-2</c:v>
                </c:pt>
                <c:pt idx="3">
                  <c:v>4.8776161759489067E-2</c:v>
                </c:pt>
                <c:pt idx="4">
                  <c:v>0.27533900252815457</c:v>
                </c:pt>
                <c:pt idx="5">
                  <c:v>0.11171096345514964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4E15-4E45-93A2-DF6EB5786D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426500876382174E-3"/>
          <c:y val="0.5733020131929728"/>
          <c:w val="0.97760879170679205"/>
          <c:h val="0.2247541019961255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'distribución españoles x Resid'!$J$5</c:f>
              <c:strCache>
                <c:ptCount val="1"/>
                <c:pt idx="0">
                  <c:v>acumulado junio 2024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Resid'!$J$8,'distribución españoles x Resid'!$J$10:$J$11)</c:f>
              <c:numCache>
                <c:formatCode>#,##0</c:formatCode>
                <c:ptCount val="3"/>
                <c:pt idx="0">
                  <c:v>41828</c:v>
                </c:pt>
                <c:pt idx="1">
                  <c:v>7060</c:v>
                </c:pt>
                <c:pt idx="2">
                  <c:v>27049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FF3-4499-8AA6-A08FAB70FB25}"/>
            </c:ext>
          </c:extLst>
        </c:ser>
        <c:ser>
          <c:idx val="0"/>
          <c:order val="1"/>
          <c:tx>
            <c:strRef>
              <c:f>'distribución españoles x Resid'!$N$5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43681</c:v>
                </c:pt>
                <c:pt idx="1">
                  <c:v>18360</c:v>
                </c:pt>
                <c:pt idx="2">
                  <c:v>25684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FF3-4499-8AA6-A08FAB70F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EFF3-4499-8AA6-A08FAB70FB25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EFF3-4499-8AA6-A08FAB70FB25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EFF3-4499-8AA6-A08FAB70FB25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F3-4499-8AA6-A08FAB70FB25}"/>
                </c:ext>
              </c:extLst>
            </c:dLbl>
            <c:dLbl>
              <c:idx val="1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F3-4499-8AA6-A08FAB70FB25}"/>
                </c:ext>
              </c:extLst>
            </c:dLbl>
            <c:dLbl>
              <c:idx val="2"/>
              <c:layout>
                <c:manualLayout>
                  <c:x val="3.3613445378151259E-2"/>
                  <c:y val="7.7396657871591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F3-4499-8AA6-A08FAB70FB25}"/>
                </c:ext>
              </c:extLst>
            </c:dLbl>
            <c:dLbl>
              <c:idx val="3"/>
              <c:layout>
                <c:manualLayout>
                  <c:x val="3.8095238095238099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F3-4499-8AA6-A08FAB70FB25}"/>
                </c:ext>
              </c:extLst>
            </c:dLbl>
            <c:dLbl>
              <c:idx val="4"/>
              <c:layout>
                <c:manualLayout>
                  <c:x val="3.5854341736694599E-2"/>
                  <c:y val="8.0914687774846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F3-4499-8AA6-A08FAB70FB25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F3-4499-8AA6-A08FAB70FB25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bg1">
                        <a:lumMod val="6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('distribución españoles x Resid'!$S$8,'distribución españoles x Resid'!$S$10,'distribución españoles x Resid'!$S$11)</c:f>
              <c:numCache>
                <c:formatCode>0.0%</c:formatCode>
                <c:ptCount val="3"/>
                <c:pt idx="0">
                  <c:v>0.49793103448275861</c:v>
                </c:pt>
                <c:pt idx="1">
                  <c:v>0.20929039612425193</c:v>
                </c:pt>
                <c:pt idx="2">
                  <c:v>0.29277856939298946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FF3-4499-8AA6-A08FAB70FB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'distribución españoles x Resid'!$O$5</c:f>
              <c:strCache>
                <c:ptCount val="1"/>
                <c:pt idx="0">
                  <c:v>var. 25/24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FF3-4499-8AA6-A08FAB70FB2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FF3-4499-8AA6-A08FAB70FB2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FF3-4499-8AA6-A08FAB70FB2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FF3-4499-8AA6-A08FAB70FB2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F3-4499-8AA6-A08FAB70FB2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F3-4499-8AA6-A08FAB70FB25}"/>
              </c:ext>
            </c:extLst>
          </c:dPt>
          <c:dLbls>
            <c:dLbl>
              <c:idx val="0"/>
              <c:layout>
                <c:manualLayout>
                  <c:x val="-5.6085850813717919E-2"/>
                  <c:y val="-0.388277533883691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F3-4499-8AA6-A08FAB70FB25}"/>
                </c:ext>
              </c:extLst>
            </c:dLbl>
            <c:dLbl>
              <c:idx val="1"/>
              <c:layout>
                <c:manualLayout>
                  <c:x val="-4.1760392381352811E-2"/>
                  <c:y val="-0.305844772657881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F3-4499-8AA6-A08FAB70FB25}"/>
                </c:ext>
              </c:extLst>
            </c:dLbl>
            <c:dLbl>
              <c:idx val="2"/>
              <c:layout>
                <c:manualLayout>
                  <c:x val="-2.9322635206400466E-2"/>
                  <c:y val="-0.268635901524967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F3-4499-8AA6-A08FAB70FB25}"/>
                </c:ext>
              </c:extLst>
            </c:dLbl>
            <c:dLbl>
              <c:idx val="3"/>
              <c:layout>
                <c:manualLayout>
                  <c:x val="-2.617759233913217E-2"/>
                  <c:y val="-0.235970545292881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FF3-4499-8AA6-A08FAB70FB25}"/>
                </c:ext>
              </c:extLst>
            </c:dLbl>
            <c:dLbl>
              <c:idx val="4"/>
              <c:layout>
                <c:manualLayout>
                  <c:x val="-3.7427537735676572E-2"/>
                  <c:y val="-0.20831281299670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F3-4499-8AA6-A08FAB70FB25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F3-4499-8AA6-A08FAB70FB25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Resid'!$O$8,'distribución españoles x Resid'!$O$10:$O$11)</c:f>
              <c:numCache>
                <c:formatCode>0.0%</c:formatCode>
                <c:ptCount val="3"/>
                <c:pt idx="0">
                  <c:v>4.4300468585636521E-2</c:v>
                </c:pt>
                <c:pt idx="1">
                  <c:v>1.6005665722379603</c:v>
                </c:pt>
                <c:pt idx="2">
                  <c:v>-5.0463972790121603E-2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FF3-4499-8AA6-A08FAB70FB2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3.9550600542806305E-2"/>
          <c:y val="0.12537201577809509"/>
          <c:w val="0.8670238107448811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5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Resid'!$N$5</c:f>
          <c:strCache>
            <c:ptCount val="1"/>
            <c:pt idx="0">
              <c:v>acumulado junio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135460146906506"/>
          <c:y val="0.2283322201574197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Resid'!$N$5</c:f>
              <c:strCache>
                <c:ptCount val="1"/>
                <c:pt idx="0">
                  <c:v>acumulado junio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EB0D-46E1-AF5C-0F42F631411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EB0D-46E1-AF5C-0F42F631411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EB0D-46E1-AF5C-0F42F631411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EB0D-46E1-AF5C-0F42F6314116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EB0D-46E1-AF5C-0F42F6314116}"/>
              </c:ext>
            </c:extLst>
          </c:dPt>
          <c:dLbls>
            <c:dLbl>
              <c:idx val="0"/>
              <c:layout>
                <c:manualLayout>
                  <c:x val="-7.2623912404118932E-2"/>
                  <c:y val="-7.3875805916643569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B0D-46E1-AF5C-0F42F6314116}"/>
                </c:ext>
              </c:extLst>
            </c:dLbl>
            <c:dLbl>
              <c:idx val="1"/>
              <c:layout>
                <c:manualLayout>
                  <c:x val="3.6318654252135235E-2"/>
                  <c:y val="0.13190362168375808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0D-46E1-AF5C-0F42F6314116}"/>
                </c:ext>
              </c:extLst>
            </c:dLbl>
            <c:dLbl>
              <c:idx val="2"/>
              <c:layout>
                <c:manualLayout>
                  <c:x val="2.4638777203978012E-2"/>
                  <c:y val="-4.13174550526827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B0D-46E1-AF5C-0F42F6314116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0D-46E1-AF5C-0F42F6314116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0D-46E1-AF5C-0F42F6314116}"/>
                </c:ext>
              </c:extLst>
            </c:dLbl>
            <c:dLbl>
              <c:idx val="5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B0D-46E1-AF5C-0F42F63141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Resid'!$B$8,'distribución españoles x Resid'!$B$10:$B$11)</c:f>
              <c:strCache>
                <c:ptCount val="3"/>
                <c:pt idx="0">
                  <c:v>Península</c:v>
                </c:pt>
                <c:pt idx="1">
                  <c:v>Residentes en Tenerife</c:v>
                </c:pt>
                <c:pt idx="2">
                  <c:v>Residentes resto de Canarias</c:v>
                </c:pt>
              </c:strCache>
            </c:strRef>
          </c:cat>
          <c:val>
            <c:numRef>
              <c:f>('distribución españoles x Resid'!$N$8,'distribución españoles x Resid'!$N$10:$N$11)</c:f>
              <c:numCache>
                <c:formatCode>#,##0</c:formatCode>
                <c:ptCount val="3"/>
                <c:pt idx="0">
                  <c:v>43681</c:v>
                </c:pt>
                <c:pt idx="1">
                  <c:v>18360</c:v>
                </c:pt>
                <c:pt idx="2">
                  <c:v>25684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B0D-46E1-AF5C-0F42F6314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A0-49C7-9937-1CCF1105D3DC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A0-49C7-9937-1CCF1105D3DC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A0-49C7-9937-1CCF1105D3DC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A0-49C7-9937-1CCF1105D3DC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A0-49C7-9937-1CCF1105D3DC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A0-49C7-9937-1CCF1105D3DC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A0-49C7-9937-1CCF1105D3DC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A0-49C7-9937-1CCF1105D3DC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A0-49C7-9937-1CCF1105D3DC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A0-49C7-9937-1CCF1105D3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62A0-49C7-9937-1CCF1105D3DC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A0-49C7-9937-1CCF1105D3DC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A0-49C7-9937-1CCF1105D3DC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A0-49C7-9937-1CCF1105D3DC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A0-49C7-9937-1CCF1105D3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62A0-49C7-9937-1CCF1105D3DC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62A0-49C7-9937-1CCF1105D3DC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A0-49C7-9937-1CCF1105D3DC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A0-49C7-9937-1CCF1105D3DC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A0-49C7-9937-1CCF1105D3DC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A0-49C7-9937-1CCF1105D3DC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A0-49C7-9937-1CCF1105D3DC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2A0-49C7-9937-1CCF1105D3DC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2A0-49C7-9937-1CCF1105D3DC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2A0-49C7-9937-1CCF1105D3DC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2A0-49C7-9937-1CCF1105D3DC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2A0-49C7-9937-1CCF1105D3DC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2A0-49C7-9937-1CCF1105D3DC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2A0-49C7-9937-1CCF1105D3DC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2A0-49C7-9937-1CCF1105D3DC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2A0-49C7-9937-1CCF1105D3DC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2A0-49C7-9937-1CCF1105D3DC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2A0-49C7-9937-1CCF1105D3D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62A0-49C7-9937-1CCF1105D3DC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2A0-49C7-9937-1CCF1105D3D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2A0-49C7-9937-1CCF1105D3D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2A0-49C7-9937-1CCF1105D3D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2A0-49C7-9937-1CCF1105D3D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2A0-49C7-9937-1CCF1105D3D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62A0-49C7-9937-1CCF1105D3D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62A0-49C7-9937-1CCF1105D3D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62A0-49C7-9937-1CCF1105D3D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62A0-49C7-9937-1CCF1105D3D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62A0-49C7-9937-1CCF1105D3D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62A0-49C7-9937-1CCF1105D3D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62A0-49C7-9937-1CCF1105D3D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62A0-49C7-9937-1CCF1105D3D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62A0-49C7-9937-1CCF1105D3D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62A0-49C7-9937-1CCF1105D3DC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62A0-49C7-9937-1CCF1105D3DC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2A0-49C7-9937-1CCF1105D3DC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2A0-49C7-9937-1CCF1105D3DC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2A0-49C7-9937-1CCF1105D3DC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2A0-49C7-9937-1CCF1105D3DC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2A0-49C7-9937-1CCF1105D3DC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2A0-49C7-9937-1CCF1105D3DC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2A0-49C7-9937-1CCF1105D3DC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2A0-49C7-9937-1CCF1105D3DC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2A0-49C7-9937-1CCF1105D3DC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2A0-49C7-9937-1CCF1105D3DC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2A0-49C7-9937-1CCF1105D3DC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2A0-49C7-9937-1CCF1105D3DC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2A0-49C7-9937-1CCF1105D3DC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2A0-49C7-9937-1CCF1105D3DC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2A0-49C7-9937-1CCF1105D3DC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2A0-49C7-9937-1CCF1105D3D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62A0-49C7-9937-1CCF1105D3DC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2A0-49C7-9937-1CCF1105D3DC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2A0-49C7-9937-1CCF1105D3DC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2A0-49C7-9937-1CCF1105D3DC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2A0-49C7-9937-1CCF1105D3DC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2A0-49C7-9937-1CCF1105D3DC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2A0-49C7-9937-1CCF1105D3DC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2A0-49C7-9937-1CCF1105D3DC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2A0-49C7-9937-1CCF1105D3DC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2A0-49C7-9937-1CCF1105D3DC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2A0-49C7-9937-1CCF1105D3DC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2A0-49C7-9937-1CCF1105D3DC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2A0-49C7-9937-1CCF1105D3DC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2A0-49C7-9937-1CCF1105D3DC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2A0-49C7-9937-1CCF1105D3DC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2A0-49C7-9937-1CCF1105D3DC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2A0-49C7-9937-1CCF1105D3D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62A0-49C7-9937-1CCF1105D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cate'!$O$5</c:f>
          <c:strCache>
            <c:ptCount val="1"/>
            <c:pt idx="0">
              <c:v>acumulado junio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cate'!$O$5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AC15-44BB-8B58-68FD88312035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AC15-44BB-8B58-68FD88312035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15-44BB-8B58-68FD88312035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15-44BB-8B58-68FD88312035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españoles x cate'!$B$8:$B$9,'distribución españoles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españoles x cate'!$O$8:$O$9,'distribución españoles x cate'!$O$11:$O$12)</c:f>
              <c:numCache>
                <c:formatCode>#,##0</c:formatCode>
                <c:ptCount val="2"/>
                <c:pt idx="0">
                  <c:v>30335</c:v>
                </c:pt>
                <c:pt idx="1">
                  <c:v>57390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C15-44BB-8B58-68FD883120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cate'!$B$3</c:f>
          <c:strCache>
            <c:ptCount val="1"/>
            <c:pt idx="0">
              <c:v>Viajeros españoles entrados en los hoteles y apartamentos de Santa Cruz de Tenerife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cate'!$G$5</c:f>
              <c:strCache>
                <c:ptCount val="1"/>
                <c:pt idx="0">
                  <c:v>acumulado junio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españoles x cate'!$G$7:$G$10</c:f>
              <c:numCache>
                <c:formatCode>#,##0</c:formatCode>
                <c:ptCount val="4"/>
                <c:pt idx="0">
                  <c:v>76465</c:v>
                </c:pt>
                <c:pt idx="1">
                  <c:v>31876</c:v>
                </c:pt>
                <c:pt idx="2">
                  <c:v>44589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C0C-46DC-B7AA-0280B94C4941}"/>
            </c:ext>
          </c:extLst>
        </c:ser>
        <c:ser>
          <c:idx val="1"/>
          <c:order val="1"/>
          <c:tx>
            <c:strRef>
              <c:f>'distribución españoles x cate'!$K$5</c:f>
              <c:strCache>
                <c:ptCount val="1"/>
                <c:pt idx="0">
                  <c:v>acumulado junio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cate'!$K$7:$K$12</c:f>
              <c:numCache>
                <c:formatCode>#,##0</c:formatCode>
                <c:ptCount val="4"/>
                <c:pt idx="0">
                  <c:v>75937</c:v>
                </c:pt>
                <c:pt idx="1">
                  <c:v>35095</c:v>
                </c:pt>
                <c:pt idx="2">
                  <c:v>40842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C0C-46DC-B7AA-0280B94C4941}"/>
            </c:ext>
          </c:extLst>
        </c:ser>
        <c:ser>
          <c:idx val="2"/>
          <c:order val="2"/>
          <c:tx>
            <c:strRef>
              <c:f>'distribución españoles x cate'!$O$5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cate'!$O$7:$O$12</c:f>
              <c:numCache>
                <c:formatCode>#,##0</c:formatCode>
                <c:ptCount val="4"/>
                <c:pt idx="0">
                  <c:v>87725</c:v>
                </c:pt>
                <c:pt idx="1">
                  <c:v>30335</c:v>
                </c:pt>
                <c:pt idx="2">
                  <c:v>57390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C0C-46DC-B7AA-0280B94C4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cate'!$P$7:$P$12</c:f>
              <c:numCache>
                <c:formatCode>0.0%</c:formatCode>
                <c:ptCount val="4"/>
                <c:pt idx="0">
                  <c:v>0.1552339439272028</c:v>
                </c:pt>
                <c:pt idx="1">
                  <c:v>-0.13563185638979913</c:v>
                </c:pt>
                <c:pt idx="2">
                  <c:v>0.40517114734831794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C0C-46DC-B7AA-0280B94C4941}"/>
            </c:ext>
          </c:extLst>
        </c:ser>
        <c:ser>
          <c:idx val="6"/>
          <c:order val="4"/>
          <c:tx>
            <c:strRef>
              <c:f>'distribución españoles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0.3457965232259903</c:v>
                </c:pt>
                <c:pt idx="2">
                  <c:v>0.6542034767740097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C0C-46DC-B7AA-0280B94C49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cate'!$O$5</c:f>
          <c:strCache>
            <c:ptCount val="1"/>
            <c:pt idx="0">
              <c:v>acumulado junio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peninsulare x cate'!$O$5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2A1E-462E-84A3-107E8A83ACBA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A1E-462E-84A3-107E8A83ACBA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A1E-462E-84A3-107E8A83ACBA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1E-462E-84A3-107E8A83ACBA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peninsulare x cate'!$B$8:$B$9,'distribución peninsulare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peninsulare x cate'!$O$8:$O$9,'distribución peninsulare x cate'!$O$11:$O$12)</c:f>
              <c:numCache>
                <c:formatCode>#,##0</c:formatCode>
                <c:ptCount val="2"/>
                <c:pt idx="0">
                  <c:v>12716</c:v>
                </c:pt>
                <c:pt idx="1">
                  <c:v>30965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A1E-462E-84A3-107E8A83AC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81210082"/>
          <c:y val="0.13979901161003525"/>
          <c:w val="0.85077925409699728"/>
          <c:h val="0.44673508775094251"/>
        </c:manualLayout>
      </c:layout>
      <c:lineChart>
        <c:grouping val="standard"/>
        <c:varyColors val="0"/>
        <c:ser>
          <c:idx val="5"/>
          <c:order val="2"/>
          <c:tx>
            <c:strRef>
              <c:f>'Viajeros entr evol mensu TF'!$I$139:$J$139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54B-4C6A-9367-137C44D90BA8}"/>
              </c:ext>
            </c:extLst>
          </c:dPt>
          <c:val>
            <c:numRef>
              <c:f>'Viajeros entr evol mensu TF'!$I$141:$I$153</c:f>
              <c:numCache>
                <c:formatCode>#,##0</c:formatCode>
                <c:ptCount val="13"/>
                <c:pt idx="0">
                  <c:v>2175</c:v>
                </c:pt>
                <c:pt idx="1">
                  <c:v>1580</c:v>
                </c:pt>
                <c:pt idx="2">
                  <c:v>1761</c:v>
                </c:pt>
                <c:pt idx="3">
                  <c:v>1142</c:v>
                </c:pt>
                <c:pt idx="4">
                  <c:v>474</c:v>
                </c:pt>
                <c:pt idx="5">
                  <c:v>472</c:v>
                </c:pt>
                <c:pt idx="6">
                  <c:v>509</c:v>
                </c:pt>
                <c:pt idx="7">
                  <c:v>557</c:v>
                </c:pt>
                <c:pt idx="8">
                  <c:v>556</c:v>
                </c:pt>
                <c:pt idx="9">
                  <c:v>849</c:v>
                </c:pt>
                <c:pt idx="10">
                  <c:v>1379</c:v>
                </c:pt>
                <c:pt idx="11">
                  <c:v>1862</c:v>
                </c:pt>
                <c:pt idx="12">
                  <c:v>13316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54B-4C6A-9367-137C44D90BA8}"/>
            </c:ext>
          </c:extLst>
        </c:ser>
        <c:ser>
          <c:idx val="0"/>
          <c:order val="3"/>
          <c:tx>
            <c:strRef>
              <c:f>'Viajeros entr evol mensu TF'!$K$139:$L$139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54B-4C6A-9367-137C44D90BA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TF'!$K$141:$K$153</c:f>
              <c:numCache>
                <c:formatCode>#,##0</c:formatCode>
                <c:ptCount val="13"/>
                <c:pt idx="0">
                  <c:v>1964</c:v>
                </c:pt>
                <c:pt idx="1">
                  <c:v>1621</c:v>
                </c:pt>
                <c:pt idx="2">
                  <c:v>1731</c:v>
                </c:pt>
                <c:pt idx="3">
                  <c:v>987</c:v>
                </c:pt>
                <c:pt idx="4">
                  <c:v>450</c:v>
                </c:pt>
                <c:pt idx="5">
                  <c:v>414</c:v>
                </c:pt>
                <c:pt idx="6">
                  <c:v>495</c:v>
                </c:pt>
                <c:pt idx="7">
                  <c:v>633</c:v>
                </c:pt>
                <c:pt idx="8">
                  <c:v>520</c:v>
                </c:pt>
                <c:pt idx="9">
                  <c:v>789</c:v>
                </c:pt>
                <c:pt idx="10">
                  <c:v>1624</c:v>
                </c:pt>
                <c:pt idx="11">
                  <c:v>1899</c:v>
                </c:pt>
                <c:pt idx="12">
                  <c:v>13127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54B-4C6A-9367-137C44D90BA8}"/>
            </c:ext>
          </c:extLst>
        </c:ser>
        <c:ser>
          <c:idx val="1"/>
          <c:order val="4"/>
          <c:tx>
            <c:strRef>
              <c:f>'Viajeros entr evol mensu TF'!$M$139:$N$139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54B-4C6A-9367-137C44D90BA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654B-4C6A-9367-137C44D90BA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TF'!$M$141:$M$153</c:f>
              <c:numCache>
                <c:formatCode>#,##0</c:formatCode>
                <c:ptCount val="13"/>
                <c:pt idx="0">
                  <c:v>2299</c:v>
                </c:pt>
                <c:pt idx="1">
                  <c:v>1849</c:v>
                </c:pt>
                <c:pt idx="2">
                  <c:v>2042</c:v>
                </c:pt>
                <c:pt idx="3">
                  <c:v>2042</c:v>
                </c:pt>
                <c:pt idx="4">
                  <c:v>2042</c:v>
                </c:pt>
                <c:pt idx="5">
                  <c:v>2042</c:v>
                </c:pt>
                <c:pt idx="12">
                  <c:v>8018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54B-4C6A-9367-137C44D90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TF'!$C$139:$D$139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654B-4C6A-9367-137C44D90BA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TF'!$C$141:$C$153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1281</c:v>
                      </c:pt>
                      <c:pt idx="1">
                        <c:v>1141</c:v>
                      </c:pt>
                      <c:pt idx="2">
                        <c:v>472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169</c:v>
                      </c:pt>
                      <c:pt idx="8">
                        <c:v>122</c:v>
                      </c:pt>
                      <c:pt idx="9">
                        <c:v>152</c:v>
                      </c:pt>
                      <c:pt idx="10">
                        <c:v>295</c:v>
                      </c:pt>
                      <c:pt idx="11">
                        <c:v>244</c:v>
                      </c:pt>
                      <c:pt idx="12">
                        <c:v>4053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654B-4C6A-9367-137C44D90BA8}"/>
                  </c:ext>
                </c:extLst>
              </c15:ser>
            </c15:filteredLineSeries>
            <c15:filteredLineSeries>
              <c15:ser>
                <c:idx val="6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'Viajeros entr evol mensu TF'!$G$139:$H$139</c15:sqref>
                        </c15:formulaRef>
                      </c:ext>
                    </c:extLst>
                    <c:strCache>
                      <c:ptCount val="1"/>
                      <c:pt idx="0">
                        <c:v>2022</c:v>
                      </c:pt>
                    </c:strCache>
                  </c:strRef>
                </c:tx>
                <c:spPr>
                  <a:ln w="25400" cap="rnd">
                    <a:solidFill>
                      <a:srgbClr val="0047BA">
                        <a:lumMod val="20000"/>
                        <a:lumOff val="80000"/>
                      </a:srgbClr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rgbClr val="0047BA">
                        <a:lumMod val="20000"/>
                        <a:lumOff val="80000"/>
                      </a:srgbClr>
                    </a:solidFill>
                    <a:ln w="9525"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solidFill>
                        <a:srgbClr val="0047BA">
                          <a:lumMod val="20000"/>
                          <a:lumOff val="80000"/>
                        </a:srgbClr>
                      </a:solidFill>
                      <a:ln w="9525">
                        <a:solidFill>
                          <a:srgbClr val="0047BA">
                            <a:lumMod val="20000"/>
                            <a:lumOff val="80000"/>
                          </a:srgbClr>
                        </a:solidFill>
                      </a:ln>
                      <a:effectLst/>
                    </c:spPr>
                  </c:marker>
                  <c:bubble3D val="0"/>
                  <c:spPr>
                    <a:ln w="25400" cap="rnd">
                      <a:noFill/>
                      <a:round/>
                    </a:ln>
                    <a:effectLst/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1D-654B-4C6A-9367-137C44D90BA8}"/>
                    </c:ext>
                  </c:extLst>
                </c:dP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('Viajeros entr evol mensu TF'!$G$141:$G$152,'Viajeros entr evol mensu TF'!$G$153)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951</c:v>
                      </c:pt>
                      <c:pt idx="1">
                        <c:v>938</c:v>
                      </c:pt>
                      <c:pt idx="2">
                        <c:v>1100</c:v>
                      </c:pt>
                      <c:pt idx="3">
                        <c:v>852</c:v>
                      </c:pt>
                      <c:pt idx="4">
                        <c:v>480</c:v>
                      </c:pt>
                      <c:pt idx="5">
                        <c:v>330</c:v>
                      </c:pt>
                      <c:pt idx="6">
                        <c:v>456</c:v>
                      </c:pt>
                      <c:pt idx="7">
                        <c:v>554</c:v>
                      </c:pt>
                      <c:pt idx="8">
                        <c:v>710</c:v>
                      </c:pt>
                      <c:pt idx="9">
                        <c:v>1127</c:v>
                      </c:pt>
                      <c:pt idx="10">
                        <c:v>1713</c:v>
                      </c:pt>
                      <c:pt idx="11">
                        <c:v>2050</c:v>
                      </c:pt>
                      <c:pt idx="12">
                        <c:v>11261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E-654B-4C6A-9367-137C44D90BA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5"/>
          <c:tx>
            <c:strRef>
              <c:f>'Viajeros entr evol mensu TF'!$N$140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54B-4C6A-9367-137C44D90BA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54B-4C6A-9367-137C44D90BA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54B-4C6A-9367-137C44D90BA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4B-4C6A-9367-137C44D90BA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4B-4C6A-9367-137C44D90BA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4B-4C6A-9367-137C44D90BA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4B-4C6A-9367-137C44D90BA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4B-4C6A-9367-137C44D90BA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4B-4C6A-9367-137C44D90BA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4B-4C6A-9367-137C44D90BA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4B-4C6A-9367-137C44D90BA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4B-4C6A-9367-137C44D90BA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4B-4C6A-9367-137C44D90BA8}"/>
              </c:ext>
            </c:extLst>
          </c:dPt>
          <c:cat>
            <c:strRef>
              <c:f>'Viajeros entr evol mensu TF'!$B$141:$B$152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TF'!$N$141:$N$153</c:f>
              <c:numCache>
                <c:formatCode>0.0%</c:formatCode>
                <c:ptCount val="13"/>
                <c:pt idx="0">
                  <c:v>0.17057026476578407</c:v>
                </c:pt>
                <c:pt idx="1">
                  <c:v>0.14065391733497834</c:v>
                </c:pt>
                <c:pt idx="2">
                  <c:v>0.1796649335644136</c:v>
                </c:pt>
                <c:pt idx="3">
                  <c:v>1.0688956433637284</c:v>
                </c:pt>
                <c:pt idx="4">
                  <c:v>3.5377777777777775</c:v>
                </c:pt>
                <c:pt idx="5">
                  <c:v>3.9323671497584538</c:v>
                </c:pt>
                <c:pt idx="12">
                  <c:v>0.11873866331798522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54B-4C6A-9367-137C44D90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peninsulare x cate'!$B$3</c:f>
          <c:strCache>
            <c:ptCount val="1"/>
            <c:pt idx="0">
              <c:v>Viajeros peninsulares entrados en los hoteles y apartamentos de Santa Cruz de Tenerife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peninsulare x cate'!$G$5</c:f>
              <c:strCache>
                <c:ptCount val="1"/>
                <c:pt idx="0">
                  <c:v>acumulado junio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peninsulare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peninsulare x cate'!$G$7:$G$10</c:f>
              <c:numCache>
                <c:formatCode>#,##0</c:formatCode>
                <c:ptCount val="4"/>
                <c:pt idx="0">
                  <c:v>40904</c:v>
                </c:pt>
                <c:pt idx="1">
                  <c:v>17457</c:v>
                </c:pt>
                <c:pt idx="2">
                  <c:v>23447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71-4865-BC96-38AFE4774177}"/>
            </c:ext>
          </c:extLst>
        </c:ser>
        <c:ser>
          <c:idx val="1"/>
          <c:order val="1"/>
          <c:tx>
            <c:strRef>
              <c:f>'distribución peninsulare x cate'!$K$5</c:f>
              <c:strCache>
                <c:ptCount val="1"/>
                <c:pt idx="0">
                  <c:v>acumulado junio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cate'!$K$7:$K$12</c:f>
              <c:numCache>
                <c:formatCode>#,##0</c:formatCode>
                <c:ptCount val="4"/>
                <c:pt idx="0">
                  <c:v>41828</c:v>
                </c:pt>
                <c:pt idx="1">
                  <c:v>15604</c:v>
                </c:pt>
                <c:pt idx="2">
                  <c:v>26224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871-4865-BC96-38AFE4774177}"/>
            </c:ext>
          </c:extLst>
        </c:ser>
        <c:ser>
          <c:idx val="2"/>
          <c:order val="2"/>
          <c:tx>
            <c:strRef>
              <c:f>'distribución peninsulare x cate'!$O$5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peninsulare x cate'!$O$7:$O$12</c:f>
              <c:numCache>
                <c:formatCode>#,##0</c:formatCode>
                <c:ptCount val="4"/>
                <c:pt idx="0">
                  <c:v>43681</c:v>
                </c:pt>
                <c:pt idx="1">
                  <c:v>12716</c:v>
                </c:pt>
                <c:pt idx="2">
                  <c:v>30965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871-4865-BC96-38AFE4774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peninsulare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cate'!$P$7:$P$12</c:f>
              <c:numCache>
                <c:formatCode>0.0%</c:formatCode>
                <c:ptCount val="4"/>
                <c:pt idx="0">
                  <c:v>4.4300468585636521E-2</c:v>
                </c:pt>
                <c:pt idx="1">
                  <c:v>-0.18508074852601897</c:v>
                </c:pt>
                <c:pt idx="2">
                  <c:v>0.18078859060402674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871-4865-BC96-38AFE4774177}"/>
            </c:ext>
          </c:extLst>
        </c:ser>
        <c:ser>
          <c:idx val="6"/>
          <c:order val="4"/>
          <c:tx>
            <c:strRef>
              <c:f>'distribución peninsulare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peninsulare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0.29111055149836312</c:v>
                </c:pt>
                <c:pt idx="2">
                  <c:v>0.70888944850163682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871-4865-BC96-38AFE47741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cate'!$O$5</c:f>
          <c:strCache>
            <c:ptCount val="1"/>
            <c:pt idx="0">
              <c:v>acumulado junio 2025</c:v>
            </c:pt>
          </c:strCache>
        </c:strRef>
      </c:tx>
      <c:layout>
        <c:manualLayout>
          <c:xMode val="edge"/>
          <c:yMode val="edge"/>
          <c:x val="1.9790128254955335E-2"/>
          <c:y val="0.113786413224224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7227838455676912"/>
          <c:y val="0.27985647838041661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canarios x cate'!$O$5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dPt>
            <c:idx val="0"/>
            <c:bubble3D val="0"/>
            <c:spPr>
              <a:solidFill>
                <a:schemeClr val="accent6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62F8-4E1E-B378-BEB1E75D75FB}"/>
              </c:ext>
            </c:extLst>
          </c:dPt>
          <c:dPt>
            <c:idx val="1"/>
            <c:bubble3D val="0"/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2F8-4E1E-B378-BEB1E75D75FB}"/>
              </c:ext>
            </c:extLst>
          </c:dPt>
          <c:dLbls>
            <c:dLbl>
              <c:idx val="0"/>
              <c:layout>
                <c:manualLayout>
                  <c:x val="5.8624923664234739E-2"/>
                  <c:y val="2.6266777414537038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F8-4E1E-B378-BEB1E75D75FB}"/>
                </c:ext>
              </c:extLst>
            </c:dLbl>
            <c:dLbl>
              <c:idx val="1"/>
              <c:layout>
                <c:manualLayout>
                  <c:x val="-2.8012260925233727E-2"/>
                  <c:y val="-8.9147432115961704E-3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F8-4E1E-B378-BEB1E75D75F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('distribución canarios x cate'!$B$8:$B$9,'distribución canarios x cate'!$B$11:$B$12)</c:f>
              <c:strCache>
                <c:ptCount val="2"/>
                <c:pt idx="0">
                  <c:v>1, 2, 3 Estrellas</c:v>
                </c:pt>
                <c:pt idx="1">
                  <c:v>4, 5 Estrellas</c:v>
                </c:pt>
              </c:strCache>
            </c:strRef>
          </c:cat>
          <c:val>
            <c:numRef>
              <c:f>('distribución canarios x cate'!$O$8:$O$9,'distribución canarios x cate'!$O$11:$O$12)</c:f>
              <c:numCache>
                <c:formatCode>#,##0</c:formatCode>
                <c:ptCount val="2"/>
                <c:pt idx="0">
                  <c:v>17619</c:v>
                </c:pt>
                <c:pt idx="1">
                  <c:v>26425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2F8-4E1E-B378-BEB1E75D75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88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canarios x cate'!$B$3</c:f>
          <c:strCache>
            <c:ptCount val="1"/>
            <c:pt idx="0">
              <c:v>Viajeros canarios entrados en los hoteles y apartamentos de Santa Cruz de Tenerife por tipología y categoría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51033901177778"/>
          <c:y val="0.19147788492398393"/>
          <c:w val="0.84489659872277323"/>
          <c:h val="0.435161449135122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canarios x cate'!$G$5</c:f>
              <c:strCache>
                <c:ptCount val="1"/>
                <c:pt idx="0">
                  <c:v>acumulado junio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canarios x cate'!$B$7:$B$12</c:f>
              <c:strCache>
                <c:ptCount val="4"/>
                <c:pt idx="0">
                  <c:v>Hoteles</c:v>
                </c:pt>
                <c:pt idx="1">
                  <c:v>1, 2, 3 Estrellas</c:v>
                </c:pt>
                <c:pt idx="2">
                  <c:v>4, 5 Estrellas</c:v>
                </c:pt>
                <c:pt idx="3">
                  <c:v>Apartamentos</c:v>
                </c:pt>
              </c:strCache>
            </c:strRef>
          </c:cat>
          <c:val>
            <c:numRef>
              <c:f>'distribución canarios x cate'!$G$7:$G$10</c:f>
              <c:numCache>
                <c:formatCode>#,##0</c:formatCode>
                <c:ptCount val="4"/>
                <c:pt idx="0">
                  <c:v>35561</c:v>
                </c:pt>
                <c:pt idx="1">
                  <c:v>14419</c:v>
                </c:pt>
                <c:pt idx="2">
                  <c:v>21142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C6-448E-8BA2-DDB49B8F3558}"/>
            </c:ext>
          </c:extLst>
        </c:ser>
        <c:ser>
          <c:idx val="1"/>
          <c:order val="1"/>
          <c:tx>
            <c:strRef>
              <c:f>'distribución canarios x cate'!$K$5</c:f>
              <c:strCache>
                <c:ptCount val="1"/>
                <c:pt idx="0">
                  <c:v>acumulado junio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cate'!$K$7:$K$12</c:f>
              <c:numCache>
                <c:formatCode>#,##0</c:formatCode>
                <c:ptCount val="4"/>
                <c:pt idx="0">
                  <c:v>34109</c:v>
                </c:pt>
                <c:pt idx="1">
                  <c:v>19491</c:v>
                </c:pt>
                <c:pt idx="2">
                  <c:v>14618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C6-448E-8BA2-DDB49B8F3558}"/>
            </c:ext>
          </c:extLst>
        </c:ser>
        <c:ser>
          <c:idx val="2"/>
          <c:order val="2"/>
          <c:tx>
            <c:strRef>
              <c:f>'distribución canarios x cate'!$O$5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canarios x cate'!$O$7:$O$12</c:f>
              <c:numCache>
                <c:formatCode>#,##0</c:formatCode>
                <c:ptCount val="4"/>
                <c:pt idx="0">
                  <c:v>44044</c:v>
                </c:pt>
                <c:pt idx="1">
                  <c:v>17619</c:v>
                </c:pt>
                <c:pt idx="2">
                  <c:v>26425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6C6-448E-8BA2-DDB49B8F3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canarios x cate'!$P$5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cate'!$P$7:$P$12</c:f>
              <c:numCache>
                <c:formatCode>0.0%</c:formatCode>
                <c:ptCount val="4"/>
                <c:pt idx="0">
                  <c:v>0.29127209827318312</c:v>
                </c:pt>
                <c:pt idx="1">
                  <c:v>-9.6044328151454472E-2</c:v>
                </c:pt>
                <c:pt idx="2">
                  <c:v>0.80770283212477767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6C6-448E-8BA2-DDB49B8F3558}"/>
            </c:ext>
          </c:extLst>
        </c:ser>
        <c:ser>
          <c:idx val="6"/>
          <c:order val="4"/>
          <c:tx>
            <c:strRef>
              <c:f>'distribución canarios x cate'!$T$5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canarios x cate'!$T$7:$T$12</c:f>
              <c:numCache>
                <c:formatCode>0.0%</c:formatCode>
                <c:ptCount val="4"/>
                <c:pt idx="0">
                  <c:v>1</c:v>
                </c:pt>
                <c:pt idx="1">
                  <c:v>0.40003178639542275</c:v>
                </c:pt>
                <c:pt idx="2">
                  <c:v>0.59996821360457719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6C6-448E-8BA2-DDB49B8F3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al'!$O$5</c:f>
          <c:strCache>
            <c:ptCount val="1"/>
            <c:pt idx="0">
              <c:v>acumulado junio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españoles x mun al'!$O$5</c:f>
              <c:strCache>
                <c:ptCount val="1"/>
                <c:pt idx="0">
                  <c:v>acumulado junio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220-42DD-882F-B60D510297A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220-42DD-882F-B60D510297A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220-42DD-882F-B60D510297A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9220-42DD-882F-B60D510297AB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9220-42DD-882F-B60D510297A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9220-42DD-882F-B60D510297A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9220-42DD-882F-B60D510297A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9220-42DD-882F-B60D510297A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9220-42DD-882F-B60D510297AB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9220-42DD-882F-B60D510297AB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220-42DD-882F-B60D510297AB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20-42DD-882F-B60D510297AB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20-42DD-882F-B60D510297AB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20-42DD-882F-B60D510297AB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220-42DD-882F-B60D510297AB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20-42DD-882F-B60D510297AB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20-42DD-882F-B60D510297AB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20-42DD-882F-B60D510297AB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220-42DD-882F-B60D510297AB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9220-42DD-882F-B60D510297AB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63041</c:v>
                </c:pt>
                <c:pt idx="1">
                  <c:v>49677</c:v>
                </c:pt>
                <c:pt idx="2">
                  <c:v>4389</c:v>
                </c:pt>
                <c:pt idx="3">
                  <c:v>181105</c:v>
                </c:pt>
                <c:pt idx="4">
                  <c:v>25193</c:v>
                </c:pt>
                <c:pt idx="5">
                  <c:v>87725</c:v>
                </c:pt>
                <c:pt idx="6">
                  <c:v>16644</c:v>
                </c:pt>
                <c:pt idx="7">
                  <c:v>9469</c:v>
                </c:pt>
                <c:pt idx="8">
                  <c:v>19172</c:v>
                </c:pt>
                <c:pt idx="9">
                  <c:v>24222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9220-42DD-882F-B60D510297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4FD-4099-9D7B-B74930AB2D45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4FD-4099-9D7B-B74930AB2D45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4FD-4099-9D7B-B74930AB2D45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4FD-4099-9D7B-B74930AB2D45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4FD-4099-9D7B-B74930AB2D45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4FD-4099-9D7B-B74930AB2D45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4FD-4099-9D7B-B74930AB2D45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4FD-4099-9D7B-B74930AB2D45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4FD-4099-9D7B-B74930AB2D45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4FD-4099-9D7B-B74930AB2D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34FD-4099-9D7B-B74930AB2D45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4FD-4099-9D7B-B74930AB2D45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4FD-4099-9D7B-B74930AB2D45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4FD-4099-9D7B-B74930AB2D45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4FD-4099-9D7B-B74930AB2D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34FD-4099-9D7B-B74930AB2D45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34FD-4099-9D7B-B74930AB2D45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4FD-4099-9D7B-B74930AB2D45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4FD-4099-9D7B-B74930AB2D45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4FD-4099-9D7B-B74930AB2D45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4FD-4099-9D7B-B74930AB2D45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4FD-4099-9D7B-B74930AB2D45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4FD-4099-9D7B-B74930AB2D45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4FD-4099-9D7B-B74930AB2D45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4FD-4099-9D7B-B74930AB2D45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4FD-4099-9D7B-B74930AB2D45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4FD-4099-9D7B-B74930AB2D45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4FD-4099-9D7B-B74930AB2D45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4FD-4099-9D7B-B74930AB2D45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4FD-4099-9D7B-B74930AB2D45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4FD-4099-9D7B-B74930AB2D45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4FD-4099-9D7B-B74930AB2D45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4FD-4099-9D7B-B74930AB2D4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34FD-4099-9D7B-B74930AB2D45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34FD-4099-9D7B-B74930AB2D4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34FD-4099-9D7B-B74930AB2D4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34FD-4099-9D7B-B74930AB2D4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34FD-4099-9D7B-B74930AB2D4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34FD-4099-9D7B-B74930AB2D4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34FD-4099-9D7B-B74930AB2D4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34FD-4099-9D7B-B74930AB2D4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34FD-4099-9D7B-B74930AB2D4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34FD-4099-9D7B-B74930AB2D4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34FD-4099-9D7B-B74930AB2D4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34FD-4099-9D7B-B74930AB2D4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34FD-4099-9D7B-B74930AB2D4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34FD-4099-9D7B-B74930AB2D4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34FD-4099-9D7B-B74930AB2D4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34FD-4099-9D7B-B74930AB2D45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34FD-4099-9D7B-B74930AB2D45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34FD-4099-9D7B-B74930AB2D45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34FD-4099-9D7B-B74930AB2D45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34FD-4099-9D7B-B74930AB2D45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34FD-4099-9D7B-B74930AB2D45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34FD-4099-9D7B-B74930AB2D45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34FD-4099-9D7B-B74930AB2D45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34FD-4099-9D7B-B74930AB2D45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34FD-4099-9D7B-B74930AB2D45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34FD-4099-9D7B-B74930AB2D45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34FD-4099-9D7B-B74930AB2D45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34FD-4099-9D7B-B74930AB2D45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34FD-4099-9D7B-B74930AB2D45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34FD-4099-9D7B-B74930AB2D45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34FD-4099-9D7B-B74930AB2D45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34FD-4099-9D7B-B74930AB2D45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34FD-4099-9D7B-B74930AB2D4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34FD-4099-9D7B-B74930AB2D45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34FD-4099-9D7B-B74930AB2D45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34FD-4099-9D7B-B74930AB2D45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34FD-4099-9D7B-B74930AB2D45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34FD-4099-9D7B-B74930AB2D45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34FD-4099-9D7B-B74930AB2D45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34FD-4099-9D7B-B74930AB2D45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34FD-4099-9D7B-B74930AB2D45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34FD-4099-9D7B-B74930AB2D45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34FD-4099-9D7B-B74930AB2D45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34FD-4099-9D7B-B74930AB2D45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34FD-4099-9D7B-B74930AB2D45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34FD-4099-9D7B-B74930AB2D45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34FD-4099-9D7B-B74930AB2D45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34FD-4099-9D7B-B74930AB2D45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34FD-4099-9D7B-B74930AB2D45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34FD-4099-9D7B-B74930AB2D4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34FD-4099-9D7B-B74930AB2D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españoles x mun al'!$B$3</c:f>
          <c:strCache>
            <c:ptCount val="1"/>
            <c:pt idx="0">
              <c:v>Viajeros españoles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españoles x mun al'!$G$5</c:f>
              <c:strCache>
                <c:ptCount val="1"/>
                <c:pt idx="0">
                  <c:v>acumulado junio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españoles x mun al'!$B$7:$B$16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españoles x mun al'!$G$7:$G$16</c:f>
              <c:numCache>
                <c:formatCode>#,##0</c:formatCode>
                <c:ptCount val="10"/>
                <c:pt idx="0">
                  <c:v>80662</c:v>
                </c:pt>
                <c:pt idx="1">
                  <c:v>49212</c:v>
                </c:pt>
                <c:pt idx="2">
                  <c:v>12065</c:v>
                </c:pt>
                <c:pt idx="3">
                  <c:v>165380</c:v>
                </c:pt>
                <c:pt idx="4">
                  <c:v>24592</c:v>
                </c:pt>
                <c:pt idx="5">
                  <c:v>76465</c:v>
                </c:pt>
                <c:pt idx="6">
                  <c:v>19920</c:v>
                </c:pt>
                <c:pt idx="7">
                  <c:v>14533</c:v>
                </c:pt>
                <c:pt idx="8">
                  <c:v>15555</c:v>
                </c:pt>
                <c:pt idx="9">
                  <c:v>29120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7A-4699-9024-86097952CEF5}"/>
            </c:ext>
          </c:extLst>
        </c:ser>
        <c:ser>
          <c:idx val="1"/>
          <c:order val="1"/>
          <c:tx>
            <c:strRef>
              <c:f>'distribución españoles x mun al'!$K$5</c:f>
              <c:strCache>
                <c:ptCount val="1"/>
                <c:pt idx="0">
                  <c:v>acumulado junio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al'!$K$7:$K$16</c:f>
              <c:numCache>
                <c:formatCode>#,##0</c:formatCode>
                <c:ptCount val="10"/>
                <c:pt idx="0">
                  <c:v>69210</c:v>
                </c:pt>
                <c:pt idx="1">
                  <c:v>46569</c:v>
                </c:pt>
                <c:pt idx="2">
                  <c:v>6319</c:v>
                </c:pt>
                <c:pt idx="3">
                  <c:v>177175</c:v>
                </c:pt>
                <c:pt idx="4">
                  <c:v>22839</c:v>
                </c:pt>
                <c:pt idx="5">
                  <c:v>75937</c:v>
                </c:pt>
                <c:pt idx="6">
                  <c:v>16896</c:v>
                </c:pt>
                <c:pt idx="7">
                  <c:v>11038</c:v>
                </c:pt>
                <c:pt idx="8">
                  <c:v>28730</c:v>
                </c:pt>
                <c:pt idx="9">
                  <c:v>26478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67A-4699-9024-86097952CEF5}"/>
            </c:ext>
          </c:extLst>
        </c:ser>
        <c:ser>
          <c:idx val="2"/>
          <c:order val="2"/>
          <c:tx>
            <c:strRef>
              <c:f>'distribución españoles x mun al'!$O$5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españoles x mun al'!$O$7:$O$16</c:f>
              <c:numCache>
                <c:formatCode>#,##0</c:formatCode>
                <c:ptCount val="10"/>
                <c:pt idx="0">
                  <c:v>63041</c:v>
                </c:pt>
                <c:pt idx="1">
                  <c:v>49677</c:v>
                </c:pt>
                <c:pt idx="2">
                  <c:v>4389</c:v>
                </c:pt>
                <c:pt idx="3">
                  <c:v>181105</c:v>
                </c:pt>
                <c:pt idx="4">
                  <c:v>25193</c:v>
                </c:pt>
                <c:pt idx="5">
                  <c:v>87725</c:v>
                </c:pt>
                <c:pt idx="6">
                  <c:v>16644</c:v>
                </c:pt>
                <c:pt idx="7">
                  <c:v>9469</c:v>
                </c:pt>
                <c:pt idx="8">
                  <c:v>19172</c:v>
                </c:pt>
                <c:pt idx="9">
                  <c:v>24222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7A-4699-9024-86097952C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españoles x mun al'!$P$5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al'!$P$7:$P$16</c:f>
              <c:numCache>
                <c:formatCode>0.0%</c:formatCode>
                <c:ptCount val="10"/>
                <c:pt idx="0">
                  <c:v>-8.9134518133217711E-2</c:v>
                </c:pt>
                <c:pt idx="1">
                  <c:v>6.6739676608903009E-2</c:v>
                </c:pt>
                <c:pt idx="2">
                  <c:v>-0.30542807406235162</c:v>
                </c:pt>
                <c:pt idx="3">
                  <c:v>2.2181459009454008E-2</c:v>
                </c:pt>
                <c:pt idx="4">
                  <c:v>0.1030693112658172</c:v>
                </c:pt>
                <c:pt idx="5">
                  <c:v>0.1552339439272028</c:v>
                </c:pt>
                <c:pt idx="6">
                  <c:v>-1.4914772727272707E-2</c:v>
                </c:pt>
                <c:pt idx="7">
                  <c:v>-0.14214531618046744</c:v>
                </c:pt>
                <c:pt idx="8">
                  <c:v>-0.33268360598677338</c:v>
                </c:pt>
                <c:pt idx="9">
                  <c:v>-8.5202809879900254E-2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67A-4699-9024-86097952CEF5}"/>
            </c:ext>
          </c:extLst>
        </c:ser>
        <c:ser>
          <c:idx val="6"/>
          <c:order val="4"/>
          <c:tx>
            <c:strRef>
              <c:f>'distribución españoles x mun al'!$T$5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españoles x mun al'!$T$7:$T$16</c:f>
              <c:numCache>
                <c:formatCode>0.0%</c:formatCode>
                <c:ptCount val="10"/>
                <c:pt idx="0">
                  <c:v>0.13116135461897441</c:v>
                </c:pt>
                <c:pt idx="1">
                  <c:v>0.10335658719574231</c:v>
                </c:pt>
                <c:pt idx="2">
                  <c:v>9.1316315639453482E-3</c:v>
                </c:pt>
                <c:pt idx="3">
                  <c:v>0.37680203563188019</c:v>
                </c:pt>
                <c:pt idx="4">
                  <c:v>5.241585645715998E-2</c:v>
                </c:pt>
                <c:pt idx="5">
                  <c:v>0.18251819980567455</c:v>
                </c:pt>
                <c:pt idx="6">
                  <c:v>3.4629044372364172E-2</c:v>
                </c:pt>
                <c:pt idx="7">
                  <c:v>1.970093854613773E-2</c:v>
                </c:pt>
                <c:pt idx="8">
                  <c:v>3.98887309965733E-2</c:v>
                </c:pt>
                <c:pt idx="9">
                  <c:v>5.0395620811548011E-2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67A-4699-9024-86097952CE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munici'!$O$5</c:f>
          <c:strCache>
            <c:ptCount val="1"/>
            <c:pt idx="0">
              <c:v>acumulado junio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peninsula x munici'!$O$5</c:f>
              <c:strCache>
                <c:ptCount val="1"/>
                <c:pt idx="0">
                  <c:v>acumulado junio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5EA2-4702-8976-4386457F831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5EA2-4702-8976-4386457F831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5EA2-4702-8976-4386457F831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5EA2-4702-8976-4386457F8313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5EA2-4702-8976-4386457F831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5EA2-4702-8976-4386457F831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5EA2-4702-8976-4386457F831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5EA2-4702-8976-4386457F831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5EA2-4702-8976-4386457F8313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5EA2-4702-8976-4386457F8313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EA2-4702-8976-4386457F8313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EA2-4702-8976-4386457F8313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EA2-4702-8976-4386457F8313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EA2-4702-8976-4386457F8313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EA2-4702-8976-4386457F8313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EA2-4702-8976-4386457F8313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EA2-4702-8976-4386457F8313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EA2-4702-8976-4386457F8313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EA2-4702-8976-4386457F8313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5EA2-4702-8976-4386457F8313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35884</c:v>
                </c:pt>
                <c:pt idx="1">
                  <c:v>29316</c:v>
                </c:pt>
                <c:pt idx="2">
                  <c:v>1545</c:v>
                </c:pt>
                <c:pt idx="3">
                  <c:v>140084</c:v>
                </c:pt>
                <c:pt idx="4">
                  <c:v>16553</c:v>
                </c:pt>
                <c:pt idx="5">
                  <c:v>43681</c:v>
                </c:pt>
                <c:pt idx="6">
                  <c:v>11250</c:v>
                </c:pt>
                <c:pt idx="7">
                  <c:v>4788</c:v>
                </c:pt>
                <c:pt idx="8">
                  <c:v>11731</c:v>
                </c:pt>
                <c:pt idx="9">
                  <c:v>9011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5EA2-4702-8976-4386457F8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875-4A0B-B379-6833EF82D688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875-4A0B-B379-6833EF82D688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75-4A0B-B379-6833EF82D688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75-4A0B-B379-6833EF82D688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75-4A0B-B379-6833EF82D688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75-4A0B-B379-6833EF82D688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75-4A0B-B379-6833EF82D688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875-4A0B-B379-6833EF82D688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75-4A0B-B379-6833EF82D688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75-4A0B-B379-6833EF82D6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6875-4A0B-B379-6833EF82D688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75-4A0B-B379-6833EF82D688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75-4A0B-B379-6833EF82D688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75-4A0B-B379-6833EF82D688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75-4A0B-B379-6833EF82D6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6875-4A0B-B379-6833EF82D688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6875-4A0B-B379-6833EF82D688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875-4A0B-B379-6833EF82D688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875-4A0B-B379-6833EF82D688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875-4A0B-B379-6833EF82D688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875-4A0B-B379-6833EF82D688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875-4A0B-B379-6833EF82D688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875-4A0B-B379-6833EF82D688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875-4A0B-B379-6833EF82D688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875-4A0B-B379-6833EF82D688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875-4A0B-B379-6833EF82D688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875-4A0B-B379-6833EF82D688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875-4A0B-B379-6833EF82D688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875-4A0B-B379-6833EF82D688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875-4A0B-B379-6833EF82D688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875-4A0B-B379-6833EF82D688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875-4A0B-B379-6833EF82D688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875-4A0B-B379-6833EF82D68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6875-4A0B-B379-6833EF82D688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875-4A0B-B379-6833EF82D68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875-4A0B-B379-6833EF82D68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875-4A0B-B379-6833EF82D68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6875-4A0B-B379-6833EF82D68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6875-4A0B-B379-6833EF82D68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6875-4A0B-B379-6833EF82D68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6875-4A0B-B379-6833EF82D68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6875-4A0B-B379-6833EF82D68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6875-4A0B-B379-6833EF82D68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6875-4A0B-B379-6833EF82D68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6875-4A0B-B379-6833EF82D68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6875-4A0B-B379-6833EF82D68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6875-4A0B-B379-6833EF82D68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6875-4A0B-B379-6833EF82D68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6875-4A0B-B379-6833EF82D688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6875-4A0B-B379-6833EF82D688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875-4A0B-B379-6833EF82D688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875-4A0B-B379-6833EF82D688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875-4A0B-B379-6833EF82D688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6875-4A0B-B379-6833EF82D688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6875-4A0B-B379-6833EF82D688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6875-4A0B-B379-6833EF82D688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6875-4A0B-B379-6833EF82D688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6875-4A0B-B379-6833EF82D688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6875-4A0B-B379-6833EF82D688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6875-4A0B-B379-6833EF82D688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6875-4A0B-B379-6833EF82D688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6875-4A0B-B379-6833EF82D688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6875-4A0B-B379-6833EF82D688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6875-4A0B-B379-6833EF82D688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6875-4A0B-B379-6833EF82D688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6875-4A0B-B379-6833EF82D68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6875-4A0B-B379-6833EF82D688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6875-4A0B-B379-6833EF82D688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6875-4A0B-B379-6833EF82D688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6875-4A0B-B379-6833EF82D688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6875-4A0B-B379-6833EF82D688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6875-4A0B-B379-6833EF82D688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6875-4A0B-B379-6833EF82D688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6875-4A0B-B379-6833EF82D688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6875-4A0B-B379-6833EF82D688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6875-4A0B-B379-6833EF82D688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6875-4A0B-B379-6833EF82D688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6875-4A0B-B379-6833EF82D688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6875-4A0B-B379-6833EF82D688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6875-4A0B-B379-6833EF82D688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6875-4A0B-B379-6833EF82D688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6875-4A0B-B379-6833EF82D688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6875-4A0B-B379-6833EF82D68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6875-4A0B-B379-6833EF82D6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peninsula x munici'!$B$3</c:f>
          <c:strCache>
            <c:ptCount val="1"/>
            <c:pt idx="0">
              <c:v>Viajeros peninsulares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peninsula x munici'!$G$5</c:f>
              <c:strCache>
                <c:ptCount val="1"/>
                <c:pt idx="0">
                  <c:v>acumulado junio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peninsula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peninsula x munici'!$G$7:$G$16</c:f>
              <c:numCache>
                <c:formatCode>#,##0</c:formatCode>
                <c:ptCount val="10"/>
                <c:pt idx="0">
                  <c:v>46203</c:v>
                </c:pt>
                <c:pt idx="1">
                  <c:v>29159</c:v>
                </c:pt>
                <c:pt idx="2">
                  <c:v>3098</c:v>
                </c:pt>
                <c:pt idx="3">
                  <c:v>122647</c:v>
                </c:pt>
                <c:pt idx="4">
                  <c:v>14610</c:v>
                </c:pt>
                <c:pt idx="5">
                  <c:v>40904</c:v>
                </c:pt>
                <c:pt idx="6">
                  <c:v>13965</c:v>
                </c:pt>
                <c:pt idx="7">
                  <c:v>4946</c:v>
                </c:pt>
                <c:pt idx="8">
                  <c:v>4261</c:v>
                </c:pt>
                <c:pt idx="9">
                  <c:v>9188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B9-43E8-BA11-228CB1C080D6}"/>
            </c:ext>
          </c:extLst>
        </c:ser>
        <c:ser>
          <c:idx val="1"/>
          <c:order val="1"/>
          <c:tx>
            <c:strRef>
              <c:f>'distribución peninsula x munici'!$K$5</c:f>
              <c:strCache>
                <c:ptCount val="1"/>
                <c:pt idx="0">
                  <c:v>acumulado junio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munici'!$K$7:$K$16</c:f>
              <c:numCache>
                <c:formatCode>#,##0</c:formatCode>
                <c:ptCount val="10"/>
                <c:pt idx="0">
                  <c:v>42959</c:v>
                </c:pt>
                <c:pt idx="1">
                  <c:v>26530</c:v>
                </c:pt>
                <c:pt idx="2">
                  <c:v>2077</c:v>
                </c:pt>
                <c:pt idx="3">
                  <c:v>127002</c:v>
                </c:pt>
                <c:pt idx="4">
                  <c:v>16063</c:v>
                </c:pt>
                <c:pt idx="5">
                  <c:v>41828</c:v>
                </c:pt>
                <c:pt idx="6">
                  <c:v>12232</c:v>
                </c:pt>
                <c:pt idx="7">
                  <c:v>3910</c:v>
                </c:pt>
                <c:pt idx="8">
                  <c:v>10922</c:v>
                </c:pt>
                <c:pt idx="9">
                  <c:v>8880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B9-43E8-BA11-228CB1C080D6}"/>
            </c:ext>
          </c:extLst>
        </c:ser>
        <c:ser>
          <c:idx val="2"/>
          <c:order val="2"/>
          <c:tx>
            <c:strRef>
              <c:f>'distribución peninsula x munici'!$O$5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peninsula x munici'!$O$7:$O$16</c:f>
              <c:numCache>
                <c:formatCode>#,##0</c:formatCode>
                <c:ptCount val="10"/>
                <c:pt idx="0">
                  <c:v>35884</c:v>
                </c:pt>
                <c:pt idx="1">
                  <c:v>29316</c:v>
                </c:pt>
                <c:pt idx="2">
                  <c:v>1545</c:v>
                </c:pt>
                <c:pt idx="3">
                  <c:v>140084</c:v>
                </c:pt>
                <c:pt idx="4">
                  <c:v>16553</c:v>
                </c:pt>
                <c:pt idx="5">
                  <c:v>43681</c:v>
                </c:pt>
                <c:pt idx="6">
                  <c:v>11250</c:v>
                </c:pt>
                <c:pt idx="7">
                  <c:v>4788</c:v>
                </c:pt>
                <c:pt idx="8">
                  <c:v>11731</c:v>
                </c:pt>
                <c:pt idx="9">
                  <c:v>9011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B9-43E8-BA11-228CB1C08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peninsula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munici'!$P$7:$P$16</c:f>
              <c:numCache>
                <c:formatCode>0.0%</c:formatCode>
                <c:ptCount val="10"/>
                <c:pt idx="0">
                  <c:v>-0.16469191554738238</c:v>
                </c:pt>
                <c:pt idx="1">
                  <c:v>0.10501319261213715</c:v>
                </c:pt>
                <c:pt idx="2">
                  <c:v>-0.25613866153105436</c:v>
                </c:pt>
                <c:pt idx="3">
                  <c:v>0.10300625187004919</c:v>
                </c:pt>
                <c:pt idx="4">
                  <c:v>3.0504887007408277E-2</c:v>
                </c:pt>
                <c:pt idx="5">
                  <c:v>4.4300468585636521E-2</c:v>
                </c:pt>
                <c:pt idx="6">
                  <c:v>-8.0281229561805056E-2</c:v>
                </c:pt>
                <c:pt idx="7">
                  <c:v>0.2245524296675192</c:v>
                </c:pt>
                <c:pt idx="8">
                  <c:v>7.4070683025087014E-2</c:v>
                </c:pt>
                <c:pt idx="9">
                  <c:v>1.4752252252252296E-2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B9-43E8-BA11-228CB1C080D6}"/>
            </c:ext>
          </c:extLst>
        </c:ser>
        <c:ser>
          <c:idx val="6"/>
          <c:order val="4"/>
          <c:tx>
            <c:strRef>
              <c:f>'distribución peninsula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peninsula x munici'!$T$7:$T$16</c:f>
              <c:numCache>
                <c:formatCode>0.0%</c:formatCode>
                <c:ptCount val="10"/>
                <c:pt idx="0">
                  <c:v>0.11810046635927107</c:v>
                </c:pt>
                <c:pt idx="1">
                  <c:v>9.6484039454586737E-2</c:v>
                </c:pt>
                <c:pt idx="2">
                  <c:v>5.0848629061719377E-3</c:v>
                </c:pt>
                <c:pt idx="3">
                  <c:v>0.46104073485319719</c:v>
                </c:pt>
                <c:pt idx="4">
                  <c:v>5.4478793324183872E-2</c:v>
                </c:pt>
                <c:pt idx="5">
                  <c:v>0.14376174537507858</c:v>
                </c:pt>
                <c:pt idx="6">
                  <c:v>3.702570077309663E-2</c:v>
                </c:pt>
                <c:pt idx="7">
                  <c:v>1.5758138249029927E-2</c:v>
                </c:pt>
                <c:pt idx="8">
                  <c:v>3.8608755179484144E-2</c:v>
                </c:pt>
                <c:pt idx="9">
                  <c:v>2.9656763525899889E-2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B9-43E8-BA11-228CB1C08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munici'!$O$5</c:f>
          <c:strCache>
            <c:ptCount val="1"/>
            <c:pt idx="0">
              <c:v>acumulado junio 2025</c:v>
            </c:pt>
          </c:strCache>
        </c:strRef>
      </c:tx>
      <c:layout>
        <c:manualLayout>
          <c:xMode val="edge"/>
          <c:yMode val="edge"/>
          <c:x val="0.86451594650205765"/>
          <c:y val="8.99909989637462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3757176234101782"/>
          <c:y val="0.190608507035707"/>
          <c:w val="0.37144032921810699"/>
          <c:h val="0.65540856384306434"/>
        </c:manualLayout>
      </c:layout>
      <c:pieChart>
        <c:varyColors val="1"/>
        <c:ser>
          <c:idx val="0"/>
          <c:order val="0"/>
          <c:tx>
            <c:strRef>
              <c:f>'distribución canarias x munici'!$O$5</c:f>
              <c:strCache>
                <c:ptCount val="1"/>
                <c:pt idx="0">
                  <c:v>acumulado junio 2025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7D-4955-A3E9-6E1883C00B5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F97D-4955-A3E9-6E1883C00B5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F97D-4955-A3E9-6E1883C00B5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97D-4955-A3E9-6E1883C00B5A}"/>
              </c:ext>
            </c:extLst>
          </c:dPt>
          <c:dPt>
            <c:idx val="4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97D-4955-A3E9-6E1883C00B5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F97D-4955-A3E9-6E1883C00B5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F97D-4955-A3E9-6E1883C00B5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F97D-4955-A3E9-6E1883C00B5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F97D-4955-A3E9-6E1883C00B5A}"/>
              </c:ext>
            </c:extLst>
          </c:dPt>
          <c:dPt>
            <c:idx val="9"/>
            <c:bubble3D val="0"/>
            <c:spPr>
              <a:solidFill>
                <a:schemeClr val="accent4">
                  <a:lumMod val="6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F97D-4955-A3E9-6E1883C00B5A}"/>
              </c:ext>
            </c:extLst>
          </c:dPt>
          <c:dLbls>
            <c:dLbl>
              <c:idx val="0"/>
              <c:layout>
                <c:manualLayout>
                  <c:x val="-7.5339122360884497E-2"/>
                  <c:y val="4.597141450080511E-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7D-4955-A3E9-6E1883C00B5A}"/>
                </c:ext>
              </c:extLst>
            </c:dLbl>
            <c:dLbl>
              <c:idx val="1"/>
              <c:layout>
                <c:manualLayout>
                  <c:x val="-9.3387190520987984E-2"/>
                  <c:y val="4.819605911875211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7D-4955-A3E9-6E1883C00B5A}"/>
                </c:ext>
              </c:extLst>
            </c:dLbl>
            <c:dLbl>
              <c:idx val="2"/>
              <c:layout>
                <c:manualLayout>
                  <c:x val="-0.11098057931923191"/>
                  <c:y val="1.1776163257175424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7D-4955-A3E9-6E1883C00B5A}"/>
                </c:ext>
              </c:extLst>
            </c:dLbl>
            <c:dLbl>
              <c:idx val="3"/>
              <c:layout>
                <c:manualLayout>
                  <c:x val="-0.13331713361065792"/>
                  <c:y val="1.200347496970465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7D-4955-A3E9-6E1883C00B5A}"/>
                </c:ext>
              </c:extLst>
            </c:dLbl>
            <c:dLbl>
              <c:idx val="4"/>
              <c:layout>
                <c:manualLayout>
                  <c:x val="1.1125366254599619E-2"/>
                  <c:y val="-4.8381538393435182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7D-4955-A3E9-6E1883C00B5A}"/>
                </c:ext>
              </c:extLst>
            </c:dLbl>
            <c:dLbl>
              <c:idx val="5"/>
              <c:layout>
                <c:manualLayout>
                  <c:x val="4.6608807014449298E-2"/>
                  <c:y val="-6.153308137958511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7D-4955-A3E9-6E1883C00B5A}"/>
                </c:ext>
              </c:extLst>
            </c:dLbl>
            <c:dLbl>
              <c:idx val="6"/>
              <c:layout>
                <c:manualLayout>
                  <c:x val="9.1737743332696367E-2"/>
                  <c:y val="-0.10076239064635543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7D-4955-A3E9-6E1883C00B5A}"/>
                </c:ext>
              </c:extLst>
            </c:dLbl>
            <c:dLbl>
              <c:idx val="7"/>
              <c:layout>
                <c:manualLayout>
                  <c:x val="0.12098099885836359"/>
                  <c:y val="-1.9219902501646183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7D-4955-A3E9-6E1883C00B5A}"/>
                </c:ext>
              </c:extLst>
            </c:dLbl>
            <c:dLbl>
              <c:idx val="8"/>
              <c:layout>
                <c:manualLayout>
                  <c:x val="0.16659745802158807"/>
                  <c:y val="3.231810359615097E-2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7D-4955-A3E9-6E1883C00B5A}"/>
                </c:ext>
              </c:extLst>
            </c:dLbl>
            <c:dLbl>
              <c:idx val="9"/>
              <c:layout>
                <c:manualLayout>
                  <c:x val="-5.8337222491707218E-2"/>
                  <c:y val="1.835979216582467E-2"/>
                </c:manualLayout>
              </c:layout>
              <c:numFmt formatCode="0.0%" sourceLinked="0"/>
              <c:spPr>
                <a:noFill/>
                <a:ln w="3175">
                  <a:solidFill>
                    <a:schemeClr val="accent1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000" b="0" i="0" u="none" strike="noStrike" kern="1200" baseline="0">
                      <a:solidFill>
                        <a:schemeClr val="tx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>
                    <c:manualLayout>
                      <c:w val="0.19008261552331535"/>
                      <c:h val="0.16514406184118061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3-F97D-4955-A3E9-6E1883C00B5A}"/>
                </c:ext>
              </c:extLst>
            </c:dLbl>
            <c:numFmt formatCode="0.0%" sourceLinked="0"/>
            <c:spPr>
              <a:noFill/>
              <a:ln w="3175">
                <a:solidFill>
                  <a:schemeClr val="accent1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27157</c:v>
                </c:pt>
                <c:pt idx="1">
                  <c:v>20361</c:v>
                </c:pt>
                <c:pt idx="2">
                  <c:v>2844</c:v>
                </c:pt>
                <c:pt idx="3">
                  <c:v>41021</c:v>
                </c:pt>
                <c:pt idx="4">
                  <c:v>8640</c:v>
                </c:pt>
                <c:pt idx="5">
                  <c:v>44044</c:v>
                </c:pt>
                <c:pt idx="6">
                  <c:v>5394</c:v>
                </c:pt>
                <c:pt idx="7">
                  <c:v>4681</c:v>
                </c:pt>
                <c:pt idx="8">
                  <c:v>7441</c:v>
                </c:pt>
                <c:pt idx="9">
                  <c:v>15211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4-F97D-4955-A3E9-6E1883C00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162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TF'!$I$161:$J$161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A08-4935-B956-F5B882EDB9A7}"/>
              </c:ext>
            </c:extLst>
          </c:dPt>
          <c:val>
            <c:numRef>
              <c:f>'Viajeros entr evol mensu TF'!$I$163:$I$175</c:f>
              <c:numCache>
                <c:formatCode>#,##0</c:formatCode>
                <c:ptCount val="13"/>
                <c:pt idx="0">
                  <c:v>1025</c:v>
                </c:pt>
                <c:pt idx="1">
                  <c:v>854</c:v>
                </c:pt>
                <c:pt idx="2">
                  <c:v>952</c:v>
                </c:pt>
                <c:pt idx="3">
                  <c:v>615</c:v>
                </c:pt>
                <c:pt idx="4">
                  <c:v>589</c:v>
                </c:pt>
                <c:pt idx="5">
                  <c:v>441</c:v>
                </c:pt>
                <c:pt idx="6">
                  <c:v>479</c:v>
                </c:pt>
                <c:pt idx="7">
                  <c:v>818</c:v>
                </c:pt>
                <c:pt idx="8">
                  <c:v>548</c:v>
                </c:pt>
                <c:pt idx="9">
                  <c:v>726</c:v>
                </c:pt>
                <c:pt idx="10">
                  <c:v>984</c:v>
                </c:pt>
                <c:pt idx="11">
                  <c:v>725</c:v>
                </c:pt>
                <c:pt idx="12">
                  <c:v>8756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A08-4935-B956-F5B882EDB9A7}"/>
            </c:ext>
          </c:extLst>
        </c:ser>
        <c:ser>
          <c:idx val="0"/>
          <c:order val="2"/>
          <c:tx>
            <c:strRef>
              <c:f>'Viajeros entr evol mensu TF'!$K$161:$L$161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A08-4935-B956-F5B882EDB9A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TF'!$K$163:$K$175</c:f>
              <c:numCache>
                <c:formatCode>#,##0</c:formatCode>
                <c:ptCount val="13"/>
                <c:pt idx="0">
                  <c:v>851</c:v>
                </c:pt>
                <c:pt idx="1">
                  <c:v>776</c:v>
                </c:pt>
                <c:pt idx="2">
                  <c:v>929</c:v>
                </c:pt>
                <c:pt idx="3">
                  <c:v>585</c:v>
                </c:pt>
                <c:pt idx="4">
                  <c:v>640</c:v>
                </c:pt>
                <c:pt idx="5">
                  <c:v>365</c:v>
                </c:pt>
                <c:pt idx="6">
                  <c:v>436</c:v>
                </c:pt>
                <c:pt idx="7">
                  <c:v>1062</c:v>
                </c:pt>
                <c:pt idx="8">
                  <c:v>597</c:v>
                </c:pt>
                <c:pt idx="9">
                  <c:v>682</c:v>
                </c:pt>
                <c:pt idx="10">
                  <c:v>797</c:v>
                </c:pt>
                <c:pt idx="11">
                  <c:v>847</c:v>
                </c:pt>
                <c:pt idx="12">
                  <c:v>8567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08-4935-B956-F5B882EDB9A7}"/>
            </c:ext>
          </c:extLst>
        </c:ser>
        <c:ser>
          <c:idx val="1"/>
          <c:order val="3"/>
          <c:tx>
            <c:strRef>
              <c:f>'Viajeros entr evol mensu TF'!$M$161:$N$161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A08-4935-B956-F5B882EDB9A7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CA08-4935-B956-F5B882EDB9A7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TF'!$M$163:$M$175</c:f>
              <c:numCache>
                <c:formatCode>#,##0</c:formatCode>
                <c:ptCount val="13"/>
                <c:pt idx="0">
                  <c:v>858</c:v>
                </c:pt>
                <c:pt idx="1">
                  <c:v>1068</c:v>
                </c:pt>
                <c:pt idx="2">
                  <c:v>747</c:v>
                </c:pt>
                <c:pt idx="3">
                  <c:v>630</c:v>
                </c:pt>
                <c:pt idx="4">
                  <c:v>580</c:v>
                </c:pt>
                <c:pt idx="5">
                  <c:v>392</c:v>
                </c:pt>
                <c:pt idx="12">
                  <c:v>4275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A08-4935-B956-F5B882EDB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TF'!$C$161:$D$161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CA08-4935-B956-F5B882EDB9A7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TF'!$C$163:$C$175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701</c:v>
                      </c:pt>
                      <c:pt idx="1">
                        <c:v>860</c:v>
                      </c:pt>
                      <c:pt idx="2">
                        <c:v>389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171</c:v>
                      </c:pt>
                      <c:pt idx="8">
                        <c:v>103</c:v>
                      </c:pt>
                      <c:pt idx="9">
                        <c:v>199</c:v>
                      </c:pt>
                      <c:pt idx="10">
                        <c:v>107</c:v>
                      </c:pt>
                      <c:pt idx="11">
                        <c:v>244</c:v>
                      </c:pt>
                      <c:pt idx="12">
                        <c:v>2906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CA08-4935-B956-F5B882EDB9A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TF'!$N$162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A08-4935-B956-F5B882EDB9A7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A08-4935-B956-F5B882EDB9A7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A08-4935-B956-F5B882EDB9A7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08-4935-B956-F5B882EDB9A7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08-4935-B956-F5B882EDB9A7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08-4935-B956-F5B882EDB9A7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08-4935-B956-F5B882EDB9A7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08-4935-B956-F5B882EDB9A7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08-4935-B956-F5B882EDB9A7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08-4935-B956-F5B882EDB9A7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08-4935-B956-F5B882EDB9A7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08-4935-B956-F5B882EDB9A7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08-4935-B956-F5B882EDB9A7}"/>
              </c:ext>
            </c:extLst>
          </c:dPt>
          <c:cat>
            <c:strRef>
              <c:f>'Viajeros entr evol mensu TF'!$B$163:$B$174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TF'!$N$163:$N$175</c:f>
              <c:numCache>
                <c:formatCode>0.0%</c:formatCode>
                <c:ptCount val="13"/>
                <c:pt idx="0">
                  <c:v>8.2256169212691077E-3</c:v>
                </c:pt>
                <c:pt idx="1">
                  <c:v>0.37628865979381443</c:v>
                </c:pt>
                <c:pt idx="2">
                  <c:v>-0.1959095801937567</c:v>
                </c:pt>
                <c:pt idx="3">
                  <c:v>7.6923076923076872E-2</c:v>
                </c:pt>
                <c:pt idx="4">
                  <c:v>-9.375E-2</c:v>
                </c:pt>
                <c:pt idx="5">
                  <c:v>7.3972602739726057E-2</c:v>
                </c:pt>
                <c:pt idx="12">
                  <c:v>3.1114327062228719E-2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A08-4935-B956-F5B882EDB9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20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8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/>
              <a:t>Evolución de los turistas españoles según lugar de residencia</a:t>
            </a:r>
          </a:p>
        </c:rich>
      </c:tx>
      <c:layout>
        <c:manualLayout>
          <c:xMode val="edge"/>
          <c:yMode val="edge"/>
          <c:x val="7.1780789620584087E-3"/>
          <c:y val="2.604166666666666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59838895281933E-3"/>
          <c:y val="0.17594611220472442"/>
          <c:w val="0.99024733530863318"/>
          <c:h val="0.7776484580052494"/>
        </c:manualLayout>
      </c:layout>
      <c:lineChart>
        <c:grouping val="standard"/>
        <c:varyColors val="0"/>
        <c:ser>
          <c:idx val="4"/>
          <c:order val="0"/>
          <c:tx>
            <c:v>España</c:v>
          </c:tx>
          <c:spPr>
            <a:ln w="19050">
              <a:solidFill>
                <a:schemeClr val="accent6">
                  <a:lumMod val="50000"/>
                </a:schemeClr>
              </a:solidFill>
            </a:ln>
          </c:spPr>
          <c:marker>
            <c:symbol val="star"/>
            <c:size val="7"/>
            <c:spPr>
              <a:solidFill>
                <a:schemeClr val="accent6">
                  <a:lumMod val="50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5.3678618135909101E-2"/>
                  <c:y val="-4.7721251640419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70A-4CCB-8976-2AD62319FDF0}"/>
                </c:ext>
              </c:extLst>
            </c:dLbl>
            <c:dLbl>
              <c:idx val="4"/>
              <c:layout>
                <c:manualLayout>
                  <c:x val="-5.214428748765438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70A-4CCB-8976-2AD62319FDF0}"/>
                </c:ext>
              </c:extLst>
            </c:dLbl>
            <c:dLbl>
              <c:idx val="5"/>
              <c:layout>
                <c:manualLayout>
                  <c:x val="-4.6006964894635578E-2"/>
                  <c:y val="-4.25129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70A-4CCB-8976-2AD62319FDF0}"/>
                </c:ext>
              </c:extLst>
            </c:dLbl>
            <c:dLbl>
              <c:idx val="6"/>
              <c:layout>
                <c:manualLayout>
                  <c:x val="-4.2938303598126185E-2"/>
                  <c:y val="-3.99087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70A-4CCB-8976-2AD62319FDF0}"/>
                </c:ext>
              </c:extLst>
            </c:dLbl>
            <c:dLbl>
              <c:idx val="7"/>
              <c:layout>
                <c:manualLayout>
                  <c:x val="-3.373231970859799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70A-4CCB-8976-2AD62319FDF0}"/>
                </c:ext>
              </c:extLst>
            </c:dLbl>
            <c:dLbl>
              <c:idx val="8"/>
              <c:layout>
                <c:manualLayout>
                  <c:x val="-5.0609956839399679E-2"/>
                  <c:y val="-4.7721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70A-4CCB-8976-2AD62319FDF0}"/>
                </c:ext>
              </c:extLst>
            </c:dLbl>
            <c:dLbl>
              <c:idx val="9"/>
              <c:layout>
                <c:manualLayout>
                  <c:x val="-5.8281610080673174E-2"/>
                  <c:y val="-3.20962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0A-4CCB-8976-2AD62319FDF0}"/>
                </c:ext>
              </c:extLst>
            </c:dLbl>
            <c:dLbl>
              <c:idx val="10"/>
              <c:layout>
                <c:manualLayout>
                  <c:x val="-5.0609956839399679E-2"/>
                  <c:y val="-3.2096251640419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70A-4CCB-8976-2AD62319FDF0}"/>
                </c:ext>
              </c:extLst>
            </c:dLbl>
            <c:dLbl>
              <c:idx val="11"/>
              <c:layout>
                <c:manualLayout>
                  <c:x val="-4.3046860715444391E-2"/>
                  <c:y val="-3.470041830708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70A-4CCB-8976-2AD62319FDF0}"/>
                </c:ext>
              </c:extLst>
            </c:dLbl>
            <c:dLbl>
              <c:idx val="12"/>
              <c:layout>
                <c:manualLayout>
                  <c:x val="-4.756425009589578E-2"/>
                  <c:y val="-5.55337516404199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70A-4CCB-8976-2AD62319FD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1245831</c:v>
              </c:pt>
              <c:pt idx="1">
                <c:v>1371788</c:v>
              </c:pt>
              <c:pt idx="2">
                <c:v>1459717</c:v>
              </c:pt>
              <c:pt idx="3">
                <c:v>1563829</c:v>
              </c:pt>
              <c:pt idx="4">
                <c:v>1552207</c:v>
              </c:pt>
              <c:pt idx="5">
                <c:v>1560633</c:v>
              </c:pt>
              <c:pt idx="6">
                <c:v>1450144</c:v>
              </c:pt>
              <c:pt idx="7">
                <c:v>1466184</c:v>
              </c:pt>
              <c:pt idx="8">
                <c:v>1302302</c:v>
              </c:pt>
              <c:pt idx="9">
                <c:v>1185008</c:v>
              </c:pt>
              <c:pt idx="10">
                <c:v>1161922</c:v>
              </c:pt>
              <c:pt idx="11">
                <c:v>1154877</c:v>
              </c:pt>
              <c:pt idx="12">
                <c:v>1197223</c:v>
              </c:pt>
              <c:pt idx="13">
                <c:v>1169226</c:v>
              </c:pt>
              <c:pt idx="14">
                <c:v>1213803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A-D70A-4CCB-8976-2AD62319FDF0}"/>
            </c:ext>
          </c:extLst>
        </c:ser>
        <c:ser>
          <c:idx val="2"/>
          <c:order val="1"/>
          <c:tx>
            <c:v>Península</c:v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>
                    <a:lumMod val="75000"/>
                  </a:schemeClr>
                </a:solidFill>
              </a:ln>
            </c:spPr>
          </c:marker>
          <c:dLbls>
            <c:dLbl>
              <c:idx val="2"/>
              <c:layout>
                <c:manualLayout>
                  <c:x val="-4.6955085670470992E-2"/>
                  <c:y val="-3.73045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70A-4CCB-8976-2AD62319FDF0}"/>
                </c:ext>
              </c:extLst>
            </c:dLbl>
            <c:dLbl>
              <c:idx val="3"/>
              <c:layout>
                <c:manualLayout>
                  <c:x val="-5.2412044000117966E-2"/>
                  <c:y val="-4.51170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70A-4CCB-8976-2AD62319FDF0}"/>
                </c:ext>
              </c:extLst>
            </c:dLbl>
            <c:dLbl>
              <c:idx val="4"/>
              <c:layout>
                <c:manualLayout>
                  <c:x val="-4.7917661977646055E-2"/>
                  <c:y val="-2.94920849737532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70A-4CCB-8976-2AD62319FDF0}"/>
                </c:ext>
              </c:extLst>
            </c:dLbl>
            <c:dLbl>
              <c:idx val="5"/>
              <c:layout>
                <c:manualLayout>
                  <c:x val="-4.4921407295998167E-2"/>
                  <c:y val="-5.2929584973753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70A-4CCB-8976-2AD62319FD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835494.10694093152</c:v>
              </c:pt>
              <c:pt idx="1">
                <c:v>934060.2740821382</c:v>
              </c:pt>
              <c:pt idx="2">
                <c:v>991891.91957325314</c:v>
              </c:pt>
              <c:pt idx="3">
                <c:v>1012310.1198606625</c:v>
              </c:pt>
              <c:pt idx="4">
                <c:v>1010234.1976024332</c:v>
              </c:pt>
              <c:pt idx="5">
                <c:v>1045110.5088730652</c:v>
              </c:pt>
              <c:pt idx="6">
                <c:v>933931.5945879299</c:v>
              </c:pt>
              <c:pt idx="7">
                <c:v>899119.37267652876</c:v>
              </c:pt>
              <c:pt idx="8">
                <c:v>832056.62769670982</c:v>
              </c:pt>
              <c:pt idx="9">
                <c:v>764825.44958218595</c:v>
              </c:pt>
              <c:pt idx="10">
                <c:v>700427.58718537493</c:v>
              </c:pt>
              <c:pt idx="11">
                <c:v>643039.60500446218</c:v>
              </c:pt>
              <c:pt idx="12">
                <c:v>647312.71648904984</c:v>
              </c:pt>
              <c:pt idx="13">
                <c:v>701207.72652040434</c:v>
              </c:pt>
              <c:pt idx="14">
                <c:v>743043.23333572771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F-D70A-4CCB-8976-2AD62319FDF0}"/>
            </c:ext>
          </c:extLst>
        </c:ser>
        <c:ser>
          <c:idx val="1"/>
          <c:order val="2"/>
          <c:tx>
            <c:v>Canarias</c:v>
          </c:tx>
          <c:spPr>
            <a:ln w="19050">
              <a:solidFill>
                <a:schemeClr val="accent6"/>
              </a:solidFill>
            </a:ln>
          </c:spPr>
          <c:marker>
            <c:symbol val="circle"/>
            <c:size val="5"/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410336.89305934194</c:v>
              </c:pt>
              <c:pt idx="1">
                <c:v>437727.72591771383</c:v>
              </c:pt>
              <c:pt idx="2">
                <c:v>467825.08042674686</c:v>
              </c:pt>
              <c:pt idx="3">
                <c:v>551518.88013933762</c:v>
              </c:pt>
              <c:pt idx="4">
                <c:v>541972.80239797349</c:v>
              </c:pt>
              <c:pt idx="5">
                <c:v>515522.49112716987</c:v>
              </c:pt>
              <c:pt idx="6">
                <c:v>516212.40541213681</c:v>
              </c:pt>
              <c:pt idx="7">
                <c:v>567064.62732366158</c:v>
              </c:pt>
              <c:pt idx="8">
                <c:v>470245.3723033563</c:v>
              </c:pt>
              <c:pt idx="9">
                <c:v>420182.55041824712</c:v>
              </c:pt>
              <c:pt idx="10">
                <c:v>461494.41281506338</c:v>
              </c:pt>
              <c:pt idx="11">
                <c:v>511837.39499551943</c:v>
              </c:pt>
              <c:pt idx="12">
                <c:v>549910.28351071582</c:v>
              </c:pt>
              <c:pt idx="13">
                <c:v>468018.27348018327</c:v>
              </c:pt>
              <c:pt idx="14">
                <c:v>470759.76666423009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0-D70A-4CCB-8976-2AD62319FDF0}"/>
            </c:ext>
          </c:extLst>
        </c:ser>
        <c:ser>
          <c:idx val="5"/>
          <c:order val="3"/>
          <c:tx>
            <c:v>Var España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70A-4CCB-8976-2AD62319FDF0}"/>
                </c:ext>
              </c:extLst>
            </c:dLbl>
            <c:dLbl>
              <c:idx val="1"/>
              <c:layout>
                <c:manualLayout>
                  <c:x val="-4.0420189133435432E-2"/>
                  <c:y val="-0.6328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70A-4CCB-8976-2AD62319FDF0}"/>
                </c:ext>
              </c:extLst>
            </c:dLbl>
            <c:dLbl>
              <c:idx val="2"/>
              <c:layout>
                <c:manualLayout>
                  <c:x val="-4.0477937956259494E-2"/>
                  <c:y val="-0.6640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70A-4CCB-8976-2AD62319FDF0}"/>
                </c:ext>
              </c:extLst>
            </c:dLbl>
            <c:dLbl>
              <c:idx val="3"/>
              <c:layout>
                <c:manualLayout>
                  <c:x val="-3.138322324208901E-2"/>
                  <c:y val="-0.70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70A-4CCB-8976-2AD62319FDF0}"/>
                </c:ext>
              </c:extLst>
            </c:dLbl>
            <c:dLbl>
              <c:idx val="4"/>
              <c:layout>
                <c:manualLayout>
                  <c:x val="-3.2619869581894896E-2"/>
                  <c:y val="-0.677083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70A-4CCB-8976-2AD62319FDF0}"/>
                </c:ext>
              </c:extLst>
            </c:dLbl>
            <c:dLbl>
              <c:idx val="5"/>
              <c:layout>
                <c:manualLayout>
                  <c:x val="-2.8760605154505285E-2"/>
                  <c:y val="-0.69531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70A-4CCB-8976-2AD62319FDF0}"/>
                </c:ext>
              </c:extLst>
            </c:dLbl>
            <c:dLbl>
              <c:idx val="6"/>
              <c:layout>
                <c:manualLayout>
                  <c:x val="-2.5009106312804109E-2"/>
                  <c:y val="-0.65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70A-4CCB-8976-2AD62319FDF0}"/>
                </c:ext>
              </c:extLst>
            </c:dLbl>
            <c:dLbl>
              <c:idx val="7"/>
              <c:layout>
                <c:manualLayout>
                  <c:x val="-1.4231649547098631E-2"/>
                  <c:y val="-0.65701034103410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70A-4CCB-8976-2AD62319FDF0}"/>
                </c:ext>
              </c:extLst>
            </c:dLbl>
            <c:dLbl>
              <c:idx val="8"/>
              <c:layout>
                <c:manualLayout>
                  <c:x val="-2.3449404842806616E-2"/>
                  <c:y val="-0.5963541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70A-4CCB-8976-2AD62319FDF0}"/>
                </c:ext>
              </c:extLst>
            </c:dLbl>
            <c:dLbl>
              <c:idx val="9"/>
              <c:layout>
                <c:manualLayout>
                  <c:x val="-3.2862189979061603E-2"/>
                  <c:y val="-0.53645833333333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70A-4CCB-8976-2AD62319FDF0}"/>
                </c:ext>
              </c:extLst>
            </c:dLbl>
            <c:dLbl>
              <c:idx val="10"/>
              <c:layout>
                <c:manualLayout>
                  <c:x val="-3.2026324830884211E-2"/>
                  <c:y val="-0.53442442244224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70A-4CCB-8976-2AD62319FDF0}"/>
                </c:ext>
              </c:extLst>
            </c:dLbl>
            <c:dLbl>
              <c:idx val="11"/>
              <c:layout>
                <c:manualLayout>
                  <c:x val="-3.0786398891149841E-2"/>
                  <c:y val="-0.526041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70A-4CCB-8976-2AD62319FDF0}"/>
                </c:ext>
              </c:extLst>
            </c:dLbl>
            <c:dLbl>
              <c:idx val="12"/>
              <c:layout>
                <c:manualLayout>
                  <c:x val="-3.0983209952610929E-2"/>
                  <c:y val="-0.5729166666666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70A-4CCB-8976-2AD62319FDF0}"/>
                </c:ext>
              </c:extLst>
            </c:dLbl>
            <c:dLbl>
              <c:idx val="13"/>
              <c:layout>
                <c:manualLayout>
                  <c:x val="-2.711293953866269E-2"/>
                  <c:y val="-0.54223696369636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70A-4CCB-8976-2AD62319FDF0}"/>
                </c:ext>
              </c:extLst>
            </c:dLbl>
            <c:dLbl>
              <c:idx val="14"/>
              <c:layout>
                <c:manualLayout>
                  <c:x val="-3.5102385584443931E-2"/>
                  <c:y val="-0.567238723872387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D70A-4CCB-8976-2AD62319FDF0}"/>
                </c:ext>
              </c:extLst>
            </c:dLbl>
            <c:dLbl>
              <c:idx val="15"/>
              <c:layout>
                <c:manualLayout>
                  <c:x val="-1.3695726958429133E-2"/>
                  <c:y val="-0.60915291529152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70A-4CCB-8976-2AD62319FDF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0.10390423970908258</c:v>
              </c:pt>
              <c:pt idx="1">
                <c:v>0.10110279805206335</c:v>
              </c:pt>
              <c:pt idx="2">
                <c:v>6.4098096790466075E-2</c:v>
              </c:pt>
              <c:pt idx="3">
                <c:v>7.1323414059026424E-2</c:v>
              </c:pt>
              <c:pt idx="4">
                <c:v>-7.431758843198355E-3</c:v>
              </c:pt>
              <c:pt idx="5">
                <c:v>5.4283996915360788E-3</c:v>
              </c:pt>
              <c:pt idx="6">
                <c:v>-7.0797554582018973E-2</c:v>
              </c:pt>
              <c:pt idx="7">
                <c:v>1.1060970496723055E-2</c:v>
              </c:pt>
              <c:pt idx="8">
                <c:v>-0.11177451124824711</c:v>
              </c:pt>
              <c:pt idx="9">
                <c:v>-9.0066666564283859E-2</c:v>
              </c:pt>
              <c:pt idx="10">
                <c:v>-1.9481725017890139E-2</c:v>
              </c:pt>
              <c:pt idx="11">
                <c:v>-6.0632297176574923E-3</c:v>
              </c:pt>
              <c:pt idx="12">
                <c:v>3.6667108272136373E-2</c:v>
              </c:pt>
              <c:pt idx="13">
                <c:v>-2.3384950005136851E-2</c:v>
              </c:pt>
              <c:pt idx="14">
                <c:v>3.812522130024476E-2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21-D70A-4CCB-8976-2AD62319FDF0}"/>
            </c:ext>
          </c:extLst>
        </c:ser>
        <c:ser>
          <c:idx val="0"/>
          <c:order val="4"/>
          <c:tx>
            <c:v>Var interanual</c:v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D70A-4CCB-8976-2AD62319FDF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D70A-4CCB-8976-2AD62319FDF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D70A-4CCB-8976-2AD62319FDF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D70A-4CCB-8976-2AD62319FDF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D70A-4CCB-8976-2AD62319FDF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D70A-4CCB-8976-2AD62319FDF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D70A-4CCB-8976-2AD62319FDF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D70A-4CCB-8976-2AD62319FDF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D70A-4CCB-8976-2AD62319FDF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D70A-4CCB-8976-2AD62319FDF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C-D70A-4CCB-8976-2AD62319FDF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D-D70A-4CCB-8976-2AD62319FDF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E-D70A-4CCB-8976-2AD62319FDF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F-D70A-4CCB-8976-2AD62319FDF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0-D70A-4CCB-8976-2AD62319FDF0}"/>
              </c:ext>
            </c:extLst>
          </c:dPt>
          <c:dPt>
            <c:idx val="1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31-D70A-4CCB-8976-2AD62319FDF0}"/>
              </c:ext>
            </c:extLst>
          </c:dPt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70A-4CCB-8976-2AD62319FDF0}"/>
                </c:ext>
              </c:extLst>
            </c:dLbl>
            <c:dLbl>
              <c:idx val="1"/>
              <c:layout>
                <c:manualLayout>
                  <c:x val="-4.0466524418260666E-2"/>
                  <c:y val="-0.458187541010498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D70A-4CCB-8976-2AD62319FDF0}"/>
                </c:ext>
              </c:extLst>
            </c:dLbl>
            <c:dLbl>
              <c:idx val="2"/>
              <c:layout>
                <c:manualLayout>
                  <c:x val="-3.6740332659798425E-2"/>
                  <c:y val="-0.479166666666666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70A-4CCB-8976-2AD62319FDF0}"/>
                </c:ext>
              </c:extLst>
            </c:dLbl>
            <c:dLbl>
              <c:idx val="3"/>
              <c:layout>
                <c:manualLayout>
                  <c:x val="-3.5927379043097146E-2"/>
                  <c:y val="-0.488629224081364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D70A-4CCB-8976-2AD62319FDF0}"/>
                </c:ext>
              </c:extLst>
            </c:dLbl>
            <c:dLbl>
              <c:idx val="4"/>
              <c:layout>
                <c:manualLayout>
                  <c:x val="-3.2294906956855114E-2"/>
                  <c:y val="-0.4766352936351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70A-4CCB-8976-2AD62319FDF0}"/>
                </c:ext>
              </c:extLst>
            </c:dLbl>
            <c:dLbl>
              <c:idx val="5"/>
              <c:layout>
                <c:manualLayout>
                  <c:x val="-2.8299019128933279E-2"/>
                  <c:y val="-0.505787238723872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70A-4CCB-8976-2AD62319FDF0}"/>
                </c:ext>
              </c:extLst>
            </c:dLbl>
            <c:dLbl>
              <c:idx val="6"/>
              <c:layout>
                <c:manualLayout>
                  <c:x val="-3.164502595978725E-2"/>
                  <c:y val="-0.464767470472440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70A-4CCB-8976-2AD62319FDF0}"/>
                </c:ext>
              </c:extLst>
            </c:dLbl>
            <c:dLbl>
              <c:idx val="7"/>
              <c:layout>
                <c:manualLayout>
                  <c:x val="-3.3146857793523908E-2"/>
                  <c:y val="-0.44758530183727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D70A-4CCB-8976-2AD62319FDF0}"/>
                </c:ext>
              </c:extLst>
            </c:dLbl>
            <c:dLbl>
              <c:idx val="8"/>
              <c:layout>
                <c:manualLayout>
                  <c:x val="-3.5341796314586109E-2"/>
                  <c:y val="-0.42491654363517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D70A-4CCB-8976-2AD62319FDF0}"/>
                </c:ext>
              </c:extLst>
            </c:dLbl>
            <c:dLbl>
              <c:idx val="9"/>
              <c:layout>
                <c:manualLayout>
                  <c:x val="-3.1703016409485175E-2"/>
                  <c:y val="-0.40126025262467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70A-4CCB-8976-2AD62319FDF0}"/>
                </c:ext>
              </c:extLst>
            </c:dLbl>
            <c:dLbl>
              <c:idx val="10"/>
              <c:layout>
                <c:manualLayout>
                  <c:x val="-4.0959137875314605E-2"/>
                  <c:y val="-0.37012303149606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D70A-4CCB-8976-2AD62319FDF0}"/>
                </c:ext>
              </c:extLst>
            </c:dLbl>
            <c:dLbl>
              <c:idx val="11"/>
              <c:layout>
                <c:manualLayout>
                  <c:x val="-3.3855066160458365E-2"/>
                  <c:y val="-0.34375000000000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70A-4CCB-8976-2AD62319FDF0}"/>
                </c:ext>
              </c:extLst>
            </c:dLbl>
            <c:dLbl>
              <c:idx val="12"/>
              <c:layout>
                <c:manualLayout>
                  <c:x val="-2.9361893629809507E-2"/>
                  <c:y val="-0.335243602362204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D70A-4CCB-8976-2AD62319FDF0}"/>
                </c:ext>
              </c:extLst>
            </c:dLbl>
            <c:dLbl>
              <c:idx val="13"/>
              <c:layout>
                <c:manualLayout>
                  <c:x val="-2.9434944372192792E-2"/>
                  <c:y val="-0.357151155115511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70A-4CCB-8976-2AD62319FDF0}"/>
                </c:ext>
              </c:extLst>
            </c:dLbl>
            <c:dLbl>
              <c:idx val="14"/>
              <c:layout>
                <c:manualLayout>
                  <c:x val="-1.532079307839569E-2"/>
                  <c:y val="-0.392593839383938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D70A-4CCB-8976-2AD62319FDF0}"/>
                </c:ext>
              </c:extLst>
            </c:dLbl>
            <c:dLbl>
              <c:idx val="15"/>
              <c:layout>
                <c:manualLayout>
                  <c:x val="-8.2901545384897087E-3"/>
                  <c:y val="-0.108976897689769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70A-4CCB-8976-2AD62319FDF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0">
                <c:v>0</c:v>
              </c:pt>
              <c:pt idx="1">
                <c:v>0.11797350372954241</c:v>
              </c:pt>
              <c:pt idx="2">
                <c:v>6.1914254460659679E-2</c:v>
              </c:pt>
              <c:pt idx="3">
                <c:v>2.0585105982307006E-2</c:v>
              </c:pt>
              <c:pt idx="4">
                <c:v>-2.0506781642319893E-3</c:v>
              </c:pt>
              <c:pt idx="5">
                <c:v>3.4522996106648662E-2</c:v>
              </c:pt>
              <c:pt idx="6">
                <c:v>-0.10638005583258248</c:v>
              </c:pt>
              <c:pt idx="7">
                <c:v>-3.7274916185656037E-2</c:v>
              </c:pt>
              <c:pt idx="8">
                <c:v>-7.458714272853928E-2</c:v>
              </c:pt>
              <c:pt idx="9">
                <c:v>-8.0801204962013817E-2</c:v>
              </c:pt>
              <c:pt idx="10">
                <c:v>-8.4199424106494836E-2</c:v>
              </c:pt>
              <c:pt idx="11">
                <c:v>-8.1932783960612987E-2</c:v>
              </c:pt>
              <c:pt idx="12">
                <c:v>6.6451762089489996E-3</c:v>
              </c:pt>
              <c:pt idx="13">
                <c:v>8.3259618818667613E-2</c:v>
              </c:pt>
              <c:pt idx="14">
                <c:v>5.966207335296092E-2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32-D70A-4CCB-8976-2AD62319FDF0}"/>
            </c:ext>
          </c:extLst>
        </c:ser>
        <c:ser>
          <c:idx val="3"/>
          <c:order val="5"/>
          <c:tx>
            <c:v>Var Canarias</c:v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dLbls>
            <c:dLbl>
              <c:idx val="0"/>
              <c:layout>
                <c:manualLayout>
                  <c:x val="-9.8582677165354338E-3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70A-4CCB-8976-2AD62319FDF0}"/>
                </c:ext>
              </c:extLst>
            </c:dLbl>
            <c:dLbl>
              <c:idx val="1"/>
              <c:layout>
                <c:manualLayout>
                  <c:x val="-2.7813088112187415E-2"/>
                  <c:y val="-8.360031167979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D70A-4CCB-8976-2AD62319FDF0}"/>
                </c:ext>
              </c:extLst>
            </c:dLbl>
            <c:dLbl>
              <c:idx val="2"/>
              <c:layout>
                <c:manualLayout>
                  <c:x val="-3.6332508796112717E-2"/>
                  <c:y val="-9.6621145013123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70A-4CCB-8976-2AD62319FDF0}"/>
                </c:ext>
              </c:extLst>
            </c:dLbl>
            <c:dLbl>
              <c:idx val="3"/>
              <c:layout>
                <c:manualLayout>
                  <c:x val="-3.7598684779787145E-2"/>
                  <c:y val="-0.130475311679790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D70A-4CCB-8976-2AD62319FDF0}"/>
                </c:ext>
              </c:extLst>
            </c:dLbl>
            <c:dLbl>
              <c:idx val="4"/>
              <c:layout>
                <c:manualLayout>
                  <c:x val="-3.1120994491073285E-2"/>
                  <c:y val="-0.12005864501312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70A-4CCB-8976-2AD62319FDF0}"/>
                </c:ext>
              </c:extLst>
            </c:dLbl>
            <c:dLbl>
              <c:idx val="5"/>
              <c:layout>
                <c:manualLayout>
                  <c:x val="-3.1120994491073285E-2"/>
                  <c:y val="-0.1096419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D70A-4CCB-8976-2AD62319FDF0}"/>
                </c:ext>
              </c:extLst>
            </c:dLbl>
            <c:dLbl>
              <c:idx val="6"/>
              <c:layout>
                <c:manualLayout>
                  <c:x val="-3.3709847182807798E-2"/>
                  <c:y val="-0.1070378116797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70A-4CCB-8976-2AD62319FDF0}"/>
                </c:ext>
              </c:extLst>
            </c:dLbl>
            <c:dLbl>
              <c:idx val="7"/>
              <c:layout>
                <c:manualLayout>
                  <c:x val="-2.9314297251305126E-2"/>
                  <c:y val="-0.13307947834645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D70A-4CCB-8976-2AD62319FDF0}"/>
                </c:ext>
              </c:extLst>
            </c:dLbl>
            <c:dLbl>
              <c:idx val="8"/>
              <c:layout>
                <c:manualLayout>
                  <c:x val="-3.54104118280179E-2"/>
                  <c:y val="-9.40169783464566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70A-4CCB-8976-2AD62319FDF0}"/>
                </c:ext>
              </c:extLst>
            </c:dLbl>
            <c:dLbl>
              <c:idx val="9"/>
              <c:layout>
                <c:manualLayout>
                  <c:x val="-3.2719776934358027E-2"/>
                  <c:y val="-7.5787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D70A-4CCB-8976-2AD62319FDF0}"/>
                </c:ext>
              </c:extLst>
            </c:dLbl>
            <c:dLbl>
              <c:idx val="10"/>
              <c:layout>
                <c:manualLayout>
                  <c:x val="-2.8417409362291254E-2"/>
                  <c:y val="-9.1412811679790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70A-4CCB-8976-2AD62319FDF0}"/>
                </c:ext>
              </c:extLst>
            </c:dLbl>
            <c:dLbl>
              <c:idx val="11"/>
              <c:layout>
                <c:manualLayout>
                  <c:x val="-3.4012244441826933E-2"/>
                  <c:y val="-0.1119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D70A-4CCB-8976-2AD62319FDF0}"/>
                </c:ext>
              </c:extLst>
            </c:dLbl>
            <c:dLbl>
              <c:idx val="12"/>
              <c:layout>
                <c:manualLayout>
                  <c:x val="-2.5938609773722299E-2"/>
                  <c:y val="-0.120512871287128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70A-4CCB-8976-2AD62319FDF0}"/>
                </c:ext>
              </c:extLst>
            </c:dLbl>
            <c:dLbl>
              <c:idx val="13"/>
              <c:layout>
                <c:manualLayout>
                  <c:x val="-2.8479183117328648E-2"/>
                  <c:y val="-0.100630143014301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D70A-4CCB-8976-2AD62319FDF0}"/>
                </c:ext>
              </c:extLst>
            </c:dLbl>
            <c:dLbl>
              <c:idx val="14"/>
              <c:layout>
                <c:manualLayout>
                  <c:x val="-2.3102441287319669E-2"/>
                  <c:y val="-9.70033003300331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70A-4CCB-8976-2AD62319FDF0}"/>
                </c:ext>
              </c:extLst>
            </c:dLbl>
            <c:dLbl>
              <c:idx val="15"/>
              <c:layout>
                <c:manualLayout>
                  <c:x val="-1.7243956618774524E-4"/>
                  <c:y val="-0.390402640264026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D70A-4CCB-8976-2AD62319FDF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Lit>
              <c:formatCode>General</c:formatCode>
              <c:ptCount val="16"/>
              <c:pt idx="0">
                <c:v>2003</c:v>
              </c:pt>
              <c:pt idx="1">
                <c:v>2004</c:v>
              </c:pt>
              <c:pt idx="2">
                <c:v>2005</c:v>
              </c:pt>
              <c:pt idx="3">
                <c:v>2006</c:v>
              </c:pt>
              <c:pt idx="4">
                <c:v>2007</c:v>
              </c:pt>
              <c:pt idx="5">
                <c:v>2008</c:v>
              </c:pt>
              <c:pt idx="6">
                <c:v>2009</c:v>
              </c:pt>
              <c:pt idx="7">
                <c:v>2010</c:v>
              </c:pt>
              <c:pt idx="8">
                <c:v>2011</c:v>
              </c:pt>
              <c:pt idx="9">
                <c:v>2012</c:v>
              </c:pt>
              <c:pt idx="10">
                <c:v>2013</c:v>
              </c:pt>
              <c:pt idx="11">
                <c:v>2014</c:v>
              </c:pt>
              <c:pt idx="12">
                <c:v>2015</c:v>
              </c:pt>
              <c:pt idx="13">
                <c:v>2016</c:v>
              </c:pt>
              <c:pt idx="14">
                <c:v>2017</c:v>
              </c:pt>
              <c:pt idx="15">
                <c:v>2018</c:v>
              </c:pt>
            </c:numLit>
          </c:cat>
          <c:val>
            <c:numLit>
              <c:formatCode>General</c:formatCode>
              <c:ptCount val="16"/>
              <c:pt idx="1">
                <c:v>6.6752059884634063E-2</c:v>
              </c:pt>
              <c:pt idx="2">
                <c:v>6.8758163412958817E-2</c:v>
              </c:pt>
              <c:pt idx="3">
                <c:v>0.17889977090635201</c:v>
              </c:pt>
              <c:pt idx="4">
                <c:v>-1.7308705259468815E-2</c:v>
              </c:pt>
              <c:pt idx="5">
                <c:v>-4.8803761284281211E-2</c:v>
              </c:pt>
              <c:pt idx="6">
                <c:v>1.3382816401636966E-3</c:v>
              </c:pt>
              <c:pt idx="7">
                <c:v>9.8510267049713995E-2</c:v>
              </c:pt>
              <c:pt idx="8">
                <c:v>-0.17073760265607973</c:v>
              </c:pt>
              <c:pt idx="9">
                <c:v>-0.10646106231708652</c:v>
              </c:pt>
              <c:pt idx="10">
                <c:v>9.8318843454338278E-2</c:v>
              </c:pt>
              <c:pt idx="11">
                <c:v>0.10908687252218208</c:v>
              </c:pt>
              <c:pt idx="12">
                <c:v>7.4384734072682646E-2</c:v>
              </c:pt>
              <c:pt idx="13">
                <c:v>-0.14891885546806061</c:v>
              </c:pt>
              <c:pt idx="14">
                <c:v>5.857662701204136E-3</c:v>
              </c:pt>
              <c:pt idx="15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43-D70A-4CCB-8976-2AD62319F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8848"/>
        <c:axId val="93432320"/>
      </c:lineChart>
      <c:catAx>
        <c:axId val="93438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2320"/>
        <c:crosses val="autoZero"/>
        <c:auto val="1"/>
        <c:lblAlgn val="ctr"/>
        <c:lblOffset val="100"/>
        <c:tickLblSkip val="1"/>
        <c:noMultiLvlLbl val="0"/>
      </c:catAx>
      <c:valAx>
        <c:axId val="9343232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one"/>
        <c:spPr>
          <a:noFill/>
          <a:ln>
            <a:noFill/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8848"/>
        <c:crosses val="max"/>
        <c:crossBetween val="between"/>
      </c:valAx>
      <c:spPr>
        <a:noFill/>
        <a:ln>
          <a:noFill/>
        </a:ln>
      </c:spPr>
    </c:plotArea>
    <c:legend>
      <c:legendPos val="t"/>
      <c:legendEntry>
        <c:idx val="3"/>
        <c:delete val="1"/>
      </c:legendEntry>
      <c:legendEntry>
        <c:idx val="5"/>
        <c:delete val="1"/>
      </c:legendEntry>
      <c:layout>
        <c:manualLayout>
          <c:xMode val="edge"/>
          <c:yMode val="edge"/>
          <c:x val="0"/>
          <c:y val="6.8355479002624689E-2"/>
          <c:w val="0.63007114592909386"/>
          <c:h val="6.135000300534952E-2"/>
        </c:manualLayout>
      </c:layout>
      <c:overlay val="0"/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'distribución canarias x munici'!$B$3</c:f>
          <c:strCache>
            <c:ptCount val="1"/>
            <c:pt idx="0">
              <c:v>Viajeros canarios entrados en los hoteles y apartamentos de Tenerife por municipio de alojamiento</c:v>
            </c:pt>
          </c:strCache>
        </c:strRef>
      </c:tx>
      <c:layout>
        <c:manualLayout>
          <c:xMode val="edge"/>
          <c:yMode val="edge"/>
          <c:x val="1.0259905184324528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7727254388005181"/>
          <c:y val="0.16206612589429406"/>
          <c:w val="0.82272741511946601"/>
          <c:h val="0.40574969010543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'distribución canarias x munici'!$G$5</c:f>
              <c:strCache>
                <c:ptCount val="1"/>
                <c:pt idx="0">
                  <c:v>acumulado junio 2023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'distribución canarias x munici'!$B$7:$B$16</c:f>
              <c:strCache>
                <c:ptCount val="10"/>
                <c:pt idx="0">
                  <c:v>Adeje</c:v>
                </c:pt>
                <c:pt idx="1">
                  <c:v>Arona</c:v>
                </c:pt>
                <c:pt idx="2">
                  <c:v>Granadilla de Abona</c:v>
                </c:pt>
                <c:pt idx="3">
                  <c:v>Puerto de la Cruz</c:v>
                </c:pt>
                <c:pt idx="4">
                  <c:v>San Miguel de Abona</c:v>
                </c:pt>
                <c:pt idx="5">
                  <c:v>Santa Cruz de Tenerife</c:v>
                </c:pt>
                <c:pt idx="6">
                  <c:v>San Cristóbal de La Laguna</c:v>
                </c:pt>
                <c:pt idx="7">
                  <c:v>Santiago del Teide</c:v>
                </c:pt>
                <c:pt idx="8">
                  <c:v>Guía de Isora</c:v>
                </c:pt>
                <c:pt idx="9">
                  <c:v>Resto de municipios de Tenerife</c:v>
                </c:pt>
              </c:strCache>
            </c:strRef>
          </c:cat>
          <c:val>
            <c:numRef>
              <c:f>'distribución canarias x munici'!$G$7:$G$16</c:f>
              <c:numCache>
                <c:formatCode>#,##0</c:formatCode>
                <c:ptCount val="10"/>
                <c:pt idx="0">
                  <c:v>34459</c:v>
                </c:pt>
                <c:pt idx="1">
                  <c:v>20053</c:v>
                </c:pt>
                <c:pt idx="2">
                  <c:v>8967</c:v>
                </c:pt>
                <c:pt idx="3">
                  <c:v>42733</c:v>
                </c:pt>
                <c:pt idx="4">
                  <c:v>9982</c:v>
                </c:pt>
                <c:pt idx="5">
                  <c:v>35561</c:v>
                </c:pt>
                <c:pt idx="6">
                  <c:v>5955</c:v>
                </c:pt>
                <c:pt idx="7">
                  <c:v>9587</c:v>
                </c:pt>
                <c:pt idx="8">
                  <c:v>11294</c:v>
                </c:pt>
                <c:pt idx="9">
                  <c:v>19932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D7-468C-B709-C662FFB7EA67}"/>
            </c:ext>
          </c:extLst>
        </c:ser>
        <c:ser>
          <c:idx val="1"/>
          <c:order val="1"/>
          <c:tx>
            <c:strRef>
              <c:f>'distribución canarias x munici'!$K$5</c:f>
              <c:strCache>
                <c:ptCount val="1"/>
                <c:pt idx="0">
                  <c:v>acumulado junio 2024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munici'!$K$7:$K$16</c:f>
              <c:numCache>
                <c:formatCode>#,##0</c:formatCode>
                <c:ptCount val="10"/>
                <c:pt idx="0">
                  <c:v>26251</c:v>
                </c:pt>
                <c:pt idx="1">
                  <c:v>20039</c:v>
                </c:pt>
                <c:pt idx="2">
                  <c:v>4242</c:v>
                </c:pt>
                <c:pt idx="3">
                  <c:v>50173</c:v>
                </c:pt>
                <c:pt idx="4">
                  <c:v>6776</c:v>
                </c:pt>
                <c:pt idx="5">
                  <c:v>34109</c:v>
                </c:pt>
                <c:pt idx="6">
                  <c:v>4664</c:v>
                </c:pt>
                <c:pt idx="7">
                  <c:v>7128</c:v>
                </c:pt>
                <c:pt idx="8">
                  <c:v>17808</c:v>
                </c:pt>
                <c:pt idx="9">
                  <c:v>17598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D7-468C-B709-C662FFB7EA67}"/>
            </c:ext>
          </c:extLst>
        </c:ser>
        <c:ser>
          <c:idx val="2"/>
          <c:order val="2"/>
          <c:tx>
            <c:strRef>
              <c:f>'distribución canarias x munici'!$O$5</c:f>
              <c:strCache>
                <c:ptCount val="1"/>
                <c:pt idx="0">
                  <c:v>acumulado junio 2025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accent3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'distribución canarias x munici'!$O$7:$O$16</c:f>
              <c:numCache>
                <c:formatCode>#,##0</c:formatCode>
                <c:ptCount val="10"/>
                <c:pt idx="0">
                  <c:v>27157</c:v>
                </c:pt>
                <c:pt idx="1">
                  <c:v>20361</c:v>
                </c:pt>
                <c:pt idx="2">
                  <c:v>2844</c:v>
                </c:pt>
                <c:pt idx="3">
                  <c:v>41021</c:v>
                </c:pt>
                <c:pt idx="4">
                  <c:v>8640</c:v>
                </c:pt>
                <c:pt idx="5">
                  <c:v>44044</c:v>
                </c:pt>
                <c:pt idx="6">
                  <c:v>5394</c:v>
                </c:pt>
                <c:pt idx="7">
                  <c:v>4681</c:v>
                </c:pt>
                <c:pt idx="8">
                  <c:v>7441</c:v>
                </c:pt>
                <c:pt idx="9">
                  <c:v>15211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2D7-468C-B709-C662FFB7E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81954143"/>
        <c:axId val="481968287"/>
      </c:barChart>
      <c:barChart>
        <c:barDir val="col"/>
        <c:grouping val="clustered"/>
        <c:varyColors val="0"/>
        <c:ser>
          <c:idx val="3"/>
          <c:order val="3"/>
          <c:tx>
            <c:strRef>
              <c:f>'distribución canarias x munici'!$P$5</c:f>
              <c:strCache>
                <c:ptCount val="1"/>
                <c:pt idx="0">
                  <c:v>var. 25/24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munici'!$P$7:$P$16</c:f>
              <c:numCache>
                <c:formatCode>0.0%</c:formatCode>
                <c:ptCount val="10"/>
                <c:pt idx="0">
                  <c:v>3.4512970934440501E-2</c:v>
                </c:pt>
                <c:pt idx="1">
                  <c:v>1.6068666101102913E-2</c:v>
                </c:pt>
                <c:pt idx="2">
                  <c:v>-0.32956152758132962</c:v>
                </c:pt>
                <c:pt idx="3">
                  <c:v>-0.18240886532597211</c:v>
                </c:pt>
                <c:pt idx="4">
                  <c:v>0.27508854781582048</c:v>
                </c:pt>
                <c:pt idx="5">
                  <c:v>0.29127209827318312</c:v>
                </c:pt>
                <c:pt idx="6">
                  <c:v>0.15651801029159529</c:v>
                </c:pt>
                <c:pt idx="7">
                  <c:v>-0.34329405162738491</c:v>
                </c:pt>
                <c:pt idx="8">
                  <c:v>-0.58215408805031443</c:v>
                </c:pt>
                <c:pt idx="9">
                  <c:v>-0.1356404136833731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2D7-468C-B709-C662FFB7EA67}"/>
            </c:ext>
          </c:extLst>
        </c:ser>
        <c:ser>
          <c:idx val="6"/>
          <c:order val="4"/>
          <c:tx>
            <c:strRef>
              <c:f>'distribución canarias x munici'!$T$5</c:f>
              <c:strCache>
                <c:ptCount val="1"/>
                <c:pt idx="0">
                  <c:v>%/s total Tenerife 2025</c:v>
                </c:pt>
              </c:strCache>
            </c:strRef>
          </c:tx>
          <c:spPr>
            <a:noFill/>
            <a:ln>
              <a:noFill/>
            </a:ln>
            <a:effectLst/>
          </c:spPr>
          <c:invertIfNegative val="0"/>
          <c:val>
            <c:numRef>
              <c:f>'distribución canarias x munici'!$T$7:$T$16</c:f>
              <c:numCache>
                <c:formatCode>0.0%</c:formatCode>
                <c:ptCount val="10"/>
                <c:pt idx="0">
                  <c:v>0.15360815412287748</c:v>
                </c:pt>
                <c:pt idx="1">
                  <c:v>0.1151679355634241</c:v>
                </c:pt>
                <c:pt idx="2">
                  <c:v>1.6086518773261536E-2</c:v>
                </c:pt>
                <c:pt idx="3">
                  <c:v>0.23202710499225088</c:v>
                </c:pt>
                <c:pt idx="4">
                  <c:v>4.8870436779528716E-2</c:v>
                </c:pt>
                <c:pt idx="5">
                  <c:v>0.24912610156453274</c:v>
                </c:pt>
                <c:pt idx="6">
                  <c:v>3.0510085183886333E-2</c:v>
                </c:pt>
                <c:pt idx="7">
                  <c:v>2.6477142889464574E-2</c:v>
                </c:pt>
                <c:pt idx="8">
                  <c:v>4.208853241625847E-2</c:v>
                </c:pt>
                <c:pt idx="9">
                  <c:v>8.6037987714515193E-2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2D7-468C-B709-C662FFB7EA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62474639"/>
        <c:axId val="2062465903"/>
      </c:barChart>
      <c:catAx>
        <c:axId val="4819541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68287"/>
        <c:crosses val="autoZero"/>
        <c:auto val="1"/>
        <c:lblAlgn val="ctr"/>
        <c:lblOffset val="500"/>
        <c:noMultiLvlLbl val="0"/>
      </c:catAx>
      <c:valAx>
        <c:axId val="481968287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481954143"/>
        <c:crosses val="autoZero"/>
        <c:crossBetween val="between"/>
      </c:valAx>
      <c:valAx>
        <c:axId val="2062465903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062474639"/>
        <c:crosses val="max"/>
        <c:crossBetween val="between"/>
      </c:valAx>
      <c:catAx>
        <c:axId val="2062474639"/>
        <c:scaling>
          <c:orientation val="minMax"/>
        </c:scaling>
        <c:delete val="1"/>
        <c:axPos val="b"/>
        <c:majorTickMark val="out"/>
        <c:minorTickMark val="none"/>
        <c:tickLblPos val="nextTo"/>
        <c:crossAx val="2062465903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 w="25400"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españo'!$C$8:$C$22</c:f>
              <c:numCache>
                <c:formatCode>#,##0</c:formatCode>
                <c:ptCount val="15"/>
                <c:pt idx="0">
                  <c:v>156566</c:v>
                </c:pt>
                <c:pt idx="1">
                  <c:v>146430</c:v>
                </c:pt>
                <c:pt idx="2">
                  <c:v>134886</c:v>
                </c:pt>
                <c:pt idx="3">
                  <c:v>104557</c:v>
                </c:pt>
                <c:pt idx="4">
                  <c:v>61571</c:v>
                </c:pt>
                <c:pt idx="5">
                  <c:v>120142</c:v>
                </c:pt>
                <c:pt idx="6">
                  <c:v>135043</c:v>
                </c:pt>
                <c:pt idx="7">
                  <c:v>159973</c:v>
                </c:pt>
                <c:pt idx="8">
                  <c:v>164216</c:v>
                </c:pt>
                <c:pt idx="9">
                  <c:v>153824</c:v>
                </c:pt>
                <c:pt idx="10">
                  <c:v>131023</c:v>
                </c:pt>
                <c:pt idx="11">
                  <c:v>118307</c:v>
                </c:pt>
                <c:pt idx="12">
                  <c:v>118732</c:v>
                </c:pt>
                <c:pt idx="13">
                  <c:v>127678</c:v>
                </c:pt>
                <c:pt idx="14">
                  <c:v>134685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45-4CE2-A6A4-BAF4888DF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españo'!$D$7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españo'!$B$8:$B$22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españo'!$D$8:$D$22</c:f>
              <c:numCache>
                <c:formatCode>0.0%</c:formatCode>
                <c:ptCount val="15"/>
                <c:pt idx="0">
                  <c:v>6.9220788089872309E-2</c:v>
                </c:pt>
                <c:pt idx="1">
                  <c:v>8.5583381522174262E-2</c:v>
                </c:pt>
                <c:pt idx="2">
                  <c:v>0.29007144428397913</c:v>
                </c:pt>
                <c:pt idx="3">
                  <c:v>0.69815335141543899</c:v>
                </c:pt>
                <c:pt idx="4">
                  <c:v>-0.48751477418388245</c:v>
                </c:pt>
                <c:pt idx="5">
                  <c:v>-0.11034263160622915</c:v>
                </c:pt>
                <c:pt idx="6">
                  <c:v>-0.15583879779712828</c:v>
                </c:pt>
                <c:pt idx="7">
                  <c:v>-2.5837920787255775E-2</c:v>
                </c:pt>
                <c:pt idx="8">
                  <c:v>6.7557728312876986E-2</c:v>
                </c:pt>
                <c:pt idx="9">
                  <c:v>0.17402288147882428</c:v>
                </c:pt>
                <c:pt idx="10">
                  <c:v>0.10748307369809051</c:v>
                </c:pt>
                <c:pt idx="11">
                  <c:v>-3.5794899437388006E-3</c:v>
                </c:pt>
                <c:pt idx="12">
                  <c:v>-7.0066887012641188E-2</c:v>
                </c:pt>
                <c:pt idx="13">
                  <c:v>-5.2025095593421722E-2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45-4CE2-A6A4-BAF4888DF6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penins'!$C$8:$C$22</c:f>
              <c:numCache>
                <c:formatCode>#,##0</c:formatCode>
                <c:ptCount val="15"/>
                <c:pt idx="0">
                  <c:v>80773</c:v>
                </c:pt>
                <c:pt idx="1">
                  <c:v>80309</c:v>
                </c:pt>
                <c:pt idx="2">
                  <c:v>65021</c:v>
                </c:pt>
                <c:pt idx="3">
                  <c:v>51310</c:v>
                </c:pt>
                <c:pt idx="4">
                  <c:v>33780</c:v>
                </c:pt>
                <c:pt idx="5">
                  <c:v>59066</c:v>
                </c:pt>
                <c:pt idx="6">
                  <c:v>59802</c:v>
                </c:pt>
                <c:pt idx="7">
                  <c:v>65928</c:v>
                </c:pt>
                <c:pt idx="8">
                  <c:v>70751</c:v>
                </c:pt>
                <c:pt idx="9">
                  <c:v>58507</c:v>
                </c:pt>
                <c:pt idx="10">
                  <c:v>44793</c:v>
                </c:pt>
                <c:pt idx="11">
                  <c:v>53720</c:v>
                </c:pt>
                <c:pt idx="12">
                  <c:v>60145</c:v>
                </c:pt>
                <c:pt idx="13">
                  <c:v>65877</c:v>
                </c:pt>
                <c:pt idx="14">
                  <c:v>74543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F1-4749-A927-8ECF9D5B5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penins'!$D$7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penins'!$B$8:$B$22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penins'!$D$8:$D$22</c:f>
              <c:numCache>
                <c:formatCode>0.0%</c:formatCode>
                <c:ptCount val="15"/>
                <c:pt idx="0">
                  <c:v>5.7776836967213807E-3</c:v>
                </c:pt>
                <c:pt idx="1">
                  <c:v>0.23512403684963323</c:v>
                </c:pt>
                <c:pt idx="2">
                  <c:v>0.26721886571818354</c:v>
                </c:pt>
                <c:pt idx="3">
                  <c:v>0.51894612196566015</c:v>
                </c:pt>
                <c:pt idx="4">
                  <c:v>-0.42809738258896823</c:v>
                </c:pt>
                <c:pt idx="5">
                  <c:v>-1.2307280692953393E-2</c:v>
                </c:pt>
                <c:pt idx="6">
                  <c:v>-9.2919548598471069E-2</c:v>
                </c:pt>
                <c:pt idx="7">
                  <c:v>-6.8168647792964054E-2</c:v>
                </c:pt>
                <c:pt idx="8">
                  <c:v>0.2092741039533732</c:v>
                </c:pt>
                <c:pt idx="9">
                  <c:v>0.30616390953943706</c:v>
                </c:pt>
                <c:pt idx="10">
                  <c:v>-0.16617647058823526</c:v>
                </c:pt>
                <c:pt idx="11">
                  <c:v>-0.10682517249979218</c:v>
                </c:pt>
                <c:pt idx="12">
                  <c:v>-8.7010641043156145E-2</c:v>
                </c:pt>
                <c:pt idx="13">
                  <c:v>-0.1162550474222932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F1-4749-A927-8ECF9D5B5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567334541062802"/>
          <c:y val="0.15609807191281147"/>
          <c:w val="0.86939722222222227"/>
          <c:h val="0.56248308341242015"/>
        </c:manualLayout>
      </c:layout>
      <c:lineChart>
        <c:grouping val="standard"/>
        <c:varyColors val="0"/>
        <c:ser>
          <c:idx val="3"/>
          <c:order val="0"/>
          <c:tx>
            <c:v>viajeros entrados</c:v>
          </c:tx>
          <c:spPr>
            <a:ln w="28575" cap="rnd">
              <a:solidFill>
                <a:srgbClr val="2683C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/>
              </a:solidFill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canari'!$C$8:$C$22</c:f>
              <c:numCache>
                <c:formatCode>#,##0</c:formatCode>
                <c:ptCount val="15"/>
                <c:pt idx="0">
                  <c:v>75793</c:v>
                </c:pt>
                <c:pt idx="1">
                  <c:v>66121</c:v>
                </c:pt>
                <c:pt idx="2">
                  <c:v>69865</c:v>
                </c:pt>
                <c:pt idx="3">
                  <c:v>53247</c:v>
                </c:pt>
                <c:pt idx="4">
                  <c:v>27791</c:v>
                </c:pt>
                <c:pt idx="5">
                  <c:v>61076</c:v>
                </c:pt>
                <c:pt idx="6">
                  <c:v>75241</c:v>
                </c:pt>
                <c:pt idx="7">
                  <c:v>94045</c:v>
                </c:pt>
                <c:pt idx="8">
                  <c:v>93465</c:v>
                </c:pt>
                <c:pt idx="9">
                  <c:v>95317</c:v>
                </c:pt>
                <c:pt idx="10">
                  <c:v>86230</c:v>
                </c:pt>
                <c:pt idx="11">
                  <c:v>64587</c:v>
                </c:pt>
                <c:pt idx="12">
                  <c:v>58587</c:v>
                </c:pt>
                <c:pt idx="13">
                  <c:v>61801</c:v>
                </c:pt>
                <c:pt idx="14">
                  <c:v>60142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C4-48AE-8BC1-53AD88C5A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lineChart>
        <c:grouping val="standard"/>
        <c:varyColors val="0"/>
        <c:ser>
          <c:idx val="2"/>
          <c:order val="1"/>
          <c:tx>
            <c:strRef>
              <c:f>'evolución anual viaj ent canari'!$D$7</c:f>
              <c:strCache>
                <c:ptCount val="1"/>
                <c:pt idx="0">
                  <c:v>var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cat>
            <c:numRef>
              <c:f>'evolución anual viaj ent canari'!$B$8:$B$22</c:f>
              <c:numCache>
                <c:formatCode>General</c:formatCode>
                <c:ptCount val="15"/>
                <c:pt idx="0">
                  <c:v>2024</c:v>
                </c:pt>
                <c:pt idx="1">
                  <c:v>2023</c:v>
                </c:pt>
                <c:pt idx="2">
                  <c:v>2022</c:v>
                </c:pt>
                <c:pt idx="3">
                  <c:v>2021</c:v>
                </c:pt>
                <c:pt idx="4">
                  <c:v>2020</c:v>
                </c:pt>
                <c:pt idx="5">
                  <c:v>2019</c:v>
                </c:pt>
                <c:pt idx="6">
                  <c:v>2018</c:v>
                </c:pt>
                <c:pt idx="7">
                  <c:v>2017</c:v>
                </c:pt>
                <c:pt idx="8">
                  <c:v>2016</c:v>
                </c:pt>
                <c:pt idx="9">
                  <c:v>2015</c:v>
                </c:pt>
                <c:pt idx="10">
                  <c:v>2014</c:v>
                </c:pt>
                <c:pt idx="11">
                  <c:v>2013</c:v>
                </c:pt>
                <c:pt idx="12">
                  <c:v>2012</c:v>
                </c:pt>
                <c:pt idx="13">
                  <c:v>2011</c:v>
                </c:pt>
                <c:pt idx="14">
                  <c:v>2010</c:v>
                </c:pt>
              </c:numCache>
            </c:numRef>
          </c:cat>
          <c:val>
            <c:numRef>
              <c:f>'evolución anual viaj ent canari'!$D$8:$D$22</c:f>
              <c:numCache>
                <c:formatCode>0.0%</c:formatCode>
                <c:ptCount val="15"/>
                <c:pt idx="0">
                  <c:v>0.14627727953297742</c:v>
                </c:pt>
                <c:pt idx="1">
                  <c:v>-5.3589064624633198E-2</c:v>
                </c:pt>
                <c:pt idx="2">
                  <c:v>0.31209270005821921</c:v>
                </c:pt>
                <c:pt idx="3">
                  <c:v>0.91597999352308301</c:v>
                </c:pt>
                <c:pt idx="4">
                  <c:v>-0.5449767502783418</c:v>
                </c:pt>
                <c:pt idx="5">
                  <c:v>-0.18826171900958255</c:v>
                </c:pt>
                <c:pt idx="6">
                  <c:v>-0.19994683396246482</c:v>
                </c:pt>
                <c:pt idx="7">
                  <c:v>6.2055314823730168E-3</c:v>
                </c:pt>
                <c:pt idx="8">
                  <c:v>-1.942990232592301E-2</c:v>
                </c:pt>
                <c:pt idx="9">
                  <c:v>0.10538095790328184</c:v>
                </c:pt>
                <c:pt idx="10">
                  <c:v>0.33509839441373646</c:v>
                </c:pt>
                <c:pt idx="11">
                  <c:v>0.10241179783911103</c:v>
                </c:pt>
                <c:pt idx="12">
                  <c:v>-5.2005630976845074E-2</c:v>
                </c:pt>
                <c:pt idx="13">
                  <c:v>2.7584716171726864E-2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C4-48AE-8BC1-53AD88C5A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</c:lineChart>
      <c:catAx>
        <c:axId val="293731263"/>
        <c:scaling>
          <c:orientation val="maxMin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solidFill>
            <a:srgbClr val="2683C6"/>
          </a:solidFill>
          <a:ln w="9525" cap="flat" cmpd="sng" algn="ctr">
            <a:solidFill>
              <a:srgbClr val="2683C6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max"/>
        <c:crossBetween val="between"/>
      </c:val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75351449275362"/>
          <c:y val="0.16682593088722317"/>
          <c:w val="0.86939722222222227"/>
          <c:h val="0.44673508775094251"/>
        </c:manualLayout>
      </c:layout>
      <c:lineChart>
        <c:grouping val="standard"/>
        <c:varyColors val="0"/>
        <c:ser>
          <c:idx val="5"/>
          <c:order val="1"/>
          <c:tx>
            <c:strRef>
              <c:f>'Viajeros entr evol mensu TF'!$I$183:$J$183</c:f>
              <c:strCache>
                <c:ptCount val="1"/>
                <c:pt idx="0">
                  <c:v>2023</c:v>
                </c:pt>
              </c:strCache>
            </c:strRef>
          </c:tx>
          <c:spPr>
            <a:ln w="25400" cap="rnd">
              <a:solidFill>
                <a:srgbClr val="2683C6">
                  <a:lumMod val="60000"/>
                  <a:lumOff val="40000"/>
                </a:srgb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2683C6">
                  <a:lumMod val="60000"/>
                  <a:lumOff val="40000"/>
                </a:srgbClr>
              </a:solidFill>
              <a:ln w="9525">
                <a:solidFill>
                  <a:srgbClr val="2683C6">
                    <a:lumMod val="60000"/>
                    <a:lumOff val="40000"/>
                  </a:srgbClr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5400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9A4-4302-9E11-1B5B0ED94098}"/>
              </c:ext>
            </c:extLst>
          </c:dPt>
          <c:val>
            <c:numRef>
              <c:f>'Viajeros entr evol mensu TF'!$I$185:$I$197</c:f>
              <c:numCache>
                <c:formatCode>#,##0</c:formatCode>
                <c:ptCount val="13"/>
                <c:pt idx="0">
                  <c:v>239</c:v>
                </c:pt>
                <c:pt idx="1">
                  <c:v>200</c:v>
                </c:pt>
                <c:pt idx="2">
                  <c:v>206</c:v>
                </c:pt>
                <c:pt idx="3">
                  <c:v>119</c:v>
                </c:pt>
                <c:pt idx="4">
                  <c:v>90</c:v>
                </c:pt>
                <c:pt idx="5">
                  <c:v>86</c:v>
                </c:pt>
                <c:pt idx="6">
                  <c:v>135</c:v>
                </c:pt>
                <c:pt idx="7">
                  <c:v>119</c:v>
                </c:pt>
                <c:pt idx="8">
                  <c:v>102</c:v>
                </c:pt>
                <c:pt idx="9">
                  <c:v>137</c:v>
                </c:pt>
                <c:pt idx="10">
                  <c:v>273</c:v>
                </c:pt>
                <c:pt idx="11">
                  <c:v>228</c:v>
                </c:pt>
                <c:pt idx="12">
                  <c:v>1934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9A4-4302-9E11-1B5B0ED94098}"/>
            </c:ext>
          </c:extLst>
        </c:ser>
        <c:ser>
          <c:idx val="0"/>
          <c:order val="2"/>
          <c:tx>
            <c:strRef>
              <c:f>'Viajeros entr evol mensu TF'!$K$183:$L$183</c:f>
              <c:strCache>
                <c:ptCount val="1"/>
                <c:pt idx="0">
                  <c:v>2024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A4-4302-9E11-1B5B0ED9409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TF'!$K$185:$K$197</c:f>
              <c:numCache>
                <c:formatCode>#,##0</c:formatCode>
                <c:ptCount val="13"/>
                <c:pt idx="0">
                  <c:v>277</c:v>
                </c:pt>
                <c:pt idx="1">
                  <c:v>198</c:v>
                </c:pt>
                <c:pt idx="2">
                  <c:v>181</c:v>
                </c:pt>
                <c:pt idx="3">
                  <c:v>107</c:v>
                </c:pt>
                <c:pt idx="4">
                  <c:v>133</c:v>
                </c:pt>
                <c:pt idx="5">
                  <c:v>117</c:v>
                </c:pt>
                <c:pt idx="6">
                  <c:v>123</c:v>
                </c:pt>
                <c:pt idx="7">
                  <c:v>112</c:v>
                </c:pt>
                <c:pt idx="8">
                  <c:v>143</c:v>
                </c:pt>
                <c:pt idx="9">
                  <c:v>155</c:v>
                </c:pt>
                <c:pt idx="10">
                  <c:v>235</c:v>
                </c:pt>
                <c:pt idx="11">
                  <c:v>310</c:v>
                </c:pt>
                <c:pt idx="12">
                  <c:v>2091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9A4-4302-9E11-1B5B0ED94098}"/>
            </c:ext>
          </c:extLst>
        </c:ser>
        <c:ser>
          <c:idx val="1"/>
          <c:order val="3"/>
          <c:tx>
            <c:strRef>
              <c:f>'Viajeros entr evol mensu TF'!$M$183:$N$183</c:f>
              <c:strCache>
                <c:ptCount val="1"/>
                <c:pt idx="0">
                  <c:v>2025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dPt>
            <c:idx val="1"/>
            <c:marker>
              <c:symbol val="circle"/>
              <c:size val="5"/>
              <c:spPr>
                <a:solidFill>
                  <a:schemeClr val="accent2"/>
                </a:solidFill>
                <a:ln w="9525">
                  <a:solidFill>
                    <a:schemeClr val="accent2"/>
                  </a:solidFill>
                </a:ln>
                <a:effectLst/>
              </c:spPr>
            </c:marker>
            <c:bubble3D val="0"/>
            <c:spPr>
              <a:ln w="28575" cap="rnd">
                <a:solidFill>
                  <a:srgbClr val="58B6C0">
                    <a:shade val="95000"/>
                    <a:satMod val="105000"/>
                  </a:srgbClr>
                </a:solidFill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A4-4302-9E11-1B5B0ED94098}"/>
              </c:ext>
            </c:extLst>
          </c:dPt>
          <c:dPt>
            <c:idx val="12"/>
            <c:marker>
              <c:symbol val="circl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spPr>
              <a:ln w="28575" cap="rnd">
                <a:noFill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9-29A4-4302-9E11-1B5B0ED94098}"/>
              </c:ext>
            </c:extLst>
          </c:dPt>
          <c:cat>
            <c:strRef>
              <c:f>'Viajeros entr evol mensu TF'!$A$9:$A$21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'Viajeros entr evol mensu TF'!$M$185:$M$197</c:f>
              <c:numCache>
                <c:formatCode>#,##0</c:formatCode>
                <c:ptCount val="13"/>
                <c:pt idx="0">
                  <c:v>323</c:v>
                </c:pt>
                <c:pt idx="1">
                  <c:v>222</c:v>
                </c:pt>
                <c:pt idx="2">
                  <c:v>183</c:v>
                </c:pt>
                <c:pt idx="3">
                  <c:v>135</c:v>
                </c:pt>
                <c:pt idx="4">
                  <c:v>153</c:v>
                </c:pt>
                <c:pt idx="5">
                  <c:v>111</c:v>
                </c:pt>
                <c:pt idx="12">
                  <c:v>1127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9A4-4302-9E11-1B5B0ED94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731263"/>
        <c:axId val="293743791"/>
        <c:extLst>
          <c:ext xmlns:c15="http://schemas.microsoft.com/office/drawing/2012/chart" uri="{02D57815-91ED-43cb-92C2-25804820EDAC}">
            <c15:filteredLineSeries>
              <c15:ser>
                <c:idx val="3"/>
                <c:order val="0"/>
                <c:tx>
                  <c:strRef>
                    <c:extLst>
                      <c:ext uri="{02D57815-91ED-43cb-92C2-25804820EDAC}">
                        <c15:formulaRef>
                          <c15:sqref>'Viajeros entr evol mensu TF'!$C$183:$D$183</c15:sqref>
                        </c15:formulaRef>
                      </c:ext>
                    </c:extLst>
                    <c:strCache>
                      <c:ptCount val="1"/>
                      <c:pt idx="0">
                        <c:v>2020</c:v>
                      </c:pt>
                    </c:strCache>
                  </c:strRef>
                </c:tx>
                <c:spPr>
                  <a:ln w="28575" cap="rnd">
                    <a:solidFill>
                      <a:schemeClr val="accent4"/>
                    </a:solidFill>
                    <a:round/>
                  </a:ln>
                  <a:effectLst/>
                </c:spPr>
                <c:marker>
                  <c:symbol val="circle"/>
                  <c:size val="5"/>
                  <c:spPr>
                    <a:solidFill>
                      <a:schemeClr val="bg1">
                        <a:lumMod val="65000"/>
                      </a:schemeClr>
                    </a:solidFill>
                    <a:ln w="9525">
                      <a:solidFill>
                        <a:schemeClr val="bg1">
                          <a:lumMod val="65000"/>
                        </a:schemeClr>
                      </a:solidFill>
                    </a:ln>
                    <a:effectLst/>
                  </c:spPr>
                </c:marker>
                <c:dPt>
                  <c:idx val="12"/>
                  <c:marker>
                    <c:symbol val="circle"/>
                    <c:size val="5"/>
                    <c:spPr>
                      <a:noFill/>
                      <a:ln w="9525">
                        <a:noFill/>
                      </a:ln>
                      <a:effectLst/>
                    </c:spPr>
                  </c:marker>
                  <c:bubble3D val="0"/>
                  <c:spPr>
                    <a:ln w="28575" cap="rnd">
                      <a:noFill/>
                      <a:round/>
                    </a:ln>
                    <a:effectLst/>
                  </c:spPr>
                  <c:extLst>
                    <c:ext xmlns:c16="http://schemas.microsoft.com/office/drawing/2014/chart" uri="{C3380CC4-5D6E-409C-BE32-E72D297353CC}">
                      <c16:uniqueId val="{0000001A-29A4-4302-9E11-1B5B0ED94098}"/>
                    </c:ext>
                  </c:extLst>
                </c:dPt>
                <c:cat>
                  <c:strRef>
                    <c:extLst>
                      <c:ext uri="{02D57815-91ED-43cb-92C2-25804820EDAC}">
                        <c15:formulaRef>
                          <c15:sqref>'Viajeros entr evol mensu TF'!$A$9:$A$21</c15:sqref>
                        </c15:formulaRef>
                      </c:ext>
                    </c:extLst>
                    <c:strCache>
                      <c:ptCount val="13"/>
                      <c:pt idx="0">
                        <c:v>ene</c:v>
                      </c:pt>
                      <c:pt idx="1">
                        <c:v>feb</c:v>
                      </c:pt>
                      <c:pt idx="2">
                        <c:v>mar</c:v>
                      </c:pt>
                      <c:pt idx="3">
                        <c:v>abr</c:v>
                      </c:pt>
                      <c:pt idx="4">
                        <c:v>may</c:v>
                      </c:pt>
                      <c:pt idx="5">
                        <c:v>jun</c:v>
                      </c:pt>
                      <c:pt idx="6">
                        <c:v>jul</c:v>
                      </c:pt>
                      <c:pt idx="7">
                        <c:v>ago</c:v>
                      </c:pt>
                      <c:pt idx="8">
                        <c:v>sep</c:v>
                      </c:pt>
                      <c:pt idx="9">
                        <c:v>oct</c:v>
                      </c:pt>
                      <c:pt idx="10">
                        <c:v>nov</c:v>
                      </c:pt>
                      <c:pt idx="11">
                        <c:v>dic</c:v>
                      </c:pt>
                      <c:pt idx="12">
                        <c:v>Total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'Viajeros entr evol mensu TF'!$C$185:$C$197</c15:sqref>
                        </c15:formulaRef>
                      </c:ext>
                    </c:extLst>
                    <c:numCache>
                      <c:formatCode>#,##0</c:formatCode>
                      <c:ptCount val="13"/>
                      <c:pt idx="0">
                        <c:v>222</c:v>
                      </c:pt>
                      <c:pt idx="1">
                        <c:v>148</c:v>
                      </c:pt>
                      <c:pt idx="2">
                        <c:v>85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49</c:v>
                      </c:pt>
                      <c:pt idx="8">
                        <c:v>74</c:v>
                      </c:pt>
                      <c:pt idx="9">
                        <c:v>47</c:v>
                      </c:pt>
                      <c:pt idx="10">
                        <c:v>57</c:v>
                      </c:pt>
                      <c:pt idx="11">
                        <c:v>74</c:v>
                      </c:pt>
                      <c:pt idx="12">
                        <c:v>812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B-29A4-4302-9E11-1B5B0ED9409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2"/>
          <c:order val="4"/>
          <c:tx>
            <c:strRef>
              <c:f>'Viajeros entr evol mensu TF'!$N$184</c:f>
              <c:strCache>
                <c:ptCount val="1"/>
                <c:pt idx="0">
                  <c:v>var 25/24</c:v>
                </c:pt>
              </c:strCache>
            </c:strRef>
          </c:tx>
          <c:spPr>
            <a:ln w="28575" cap="rnd">
              <a:noFill/>
              <a:round/>
            </a:ln>
            <a:effectLst/>
          </c:spPr>
          <c:marker>
            <c:symbol val="square"/>
            <c:size val="5"/>
            <c:spPr>
              <a:noFill/>
              <a:ln w="9525">
                <a:noFill/>
              </a:ln>
              <a:effectLst/>
            </c:spPr>
          </c:marker>
          <c:dPt>
            <c:idx val="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9A4-4302-9E11-1B5B0ED94098}"/>
              </c:ext>
            </c:extLst>
          </c:dPt>
          <c:dPt>
            <c:idx val="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9A4-4302-9E11-1B5B0ED94098}"/>
              </c:ext>
            </c:extLst>
          </c:dPt>
          <c:dPt>
            <c:idx val="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9A4-4302-9E11-1B5B0ED94098}"/>
              </c:ext>
            </c:extLst>
          </c:dPt>
          <c:dPt>
            <c:idx val="3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9A4-4302-9E11-1B5B0ED94098}"/>
              </c:ext>
            </c:extLst>
          </c:dPt>
          <c:dPt>
            <c:idx val="4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9A4-4302-9E11-1B5B0ED94098}"/>
              </c:ext>
            </c:extLst>
          </c:dPt>
          <c:dPt>
            <c:idx val="5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9A4-4302-9E11-1B5B0ED94098}"/>
              </c:ext>
            </c:extLst>
          </c:dPt>
          <c:dPt>
            <c:idx val="6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9A4-4302-9E11-1B5B0ED94098}"/>
              </c:ext>
            </c:extLst>
          </c:dPt>
          <c:dPt>
            <c:idx val="7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A4-4302-9E11-1B5B0ED94098}"/>
              </c:ext>
            </c:extLst>
          </c:dPt>
          <c:dPt>
            <c:idx val="8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A4-4302-9E11-1B5B0ED94098}"/>
              </c:ext>
            </c:extLst>
          </c:dPt>
          <c:dPt>
            <c:idx val="9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A4-4302-9E11-1B5B0ED94098}"/>
              </c:ext>
            </c:extLst>
          </c:dPt>
          <c:dPt>
            <c:idx val="10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A4-4302-9E11-1B5B0ED94098}"/>
              </c:ext>
            </c:extLst>
          </c:dPt>
          <c:dPt>
            <c:idx val="11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A4-4302-9E11-1B5B0ED94098}"/>
              </c:ext>
            </c:extLst>
          </c:dPt>
          <c:dPt>
            <c:idx val="12"/>
            <c:marker>
              <c:symbol val="square"/>
              <c:size val="5"/>
              <c:spPr>
                <a:noFill/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A4-4302-9E11-1B5B0ED94098}"/>
              </c:ext>
            </c:extLst>
          </c:dPt>
          <c:cat>
            <c:strRef>
              <c:f>'Viajeros entr evol mensu TF'!$B$185:$B$196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'Viajeros entr evol mensu TF'!$N$185:$N$197</c:f>
              <c:numCache>
                <c:formatCode>0.0%</c:formatCode>
                <c:ptCount val="13"/>
                <c:pt idx="0">
                  <c:v>0.1660649819494584</c:v>
                </c:pt>
                <c:pt idx="1">
                  <c:v>0.1212121212121211</c:v>
                </c:pt>
                <c:pt idx="2">
                  <c:v>1.1049723756906049E-2</c:v>
                </c:pt>
                <c:pt idx="3">
                  <c:v>0.26168224299065423</c:v>
                </c:pt>
                <c:pt idx="4">
                  <c:v>0.15037593984962405</c:v>
                </c:pt>
                <c:pt idx="5">
                  <c:v>-5.1282051282051322E-2</c:v>
                </c:pt>
                <c:pt idx="12">
                  <c:v>0.11253701875616984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9A4-4302-9E11-1B5B0ED94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3227839"/>
        <c:axId val="383247327"/>
      </c:lineChart>
      <c:catAx>
        <c:axId val="29373126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43791"/>
        <c:crosses val="autoZero"/>
        <c:auto val="1"/>
        <c:lblAlgn val="ctr"/>
        <c:lblOffset val="800"/>
        <c:noMultiLvlLbl val="0"/>
      </c:catAx>
      <c:valAx>
        <c:axId val="293743791"/>
        <c:scaling>
          <c:orientation val="minMax"/>
          <c:max val="400"/>
          <c:min val="0"/>
        </c:scaling>
        <c:delete val="0"/>
        <c:axPos val="l"/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3731263"/>
        <c:crosses val="autoZero"/>
        <c:crossBetween val="between"/>
      </c:valAx>
      <c:valAx>
        <c:axId val="383247327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383227839"/>
        <c:crosses val="max"/>
        <c:crossBetween val="between"/>
      </c:valAx>
      <c:catAx>
        <c:axId val="383227839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83247327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  <c:extLst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6.png"/><Relationship Id="rId5" Type="http://schemas.openxmlformats.org/officeDocument/2006/relationships/chart" Target="../charts/chart66.xml"/><Relationship Id="rId4" Type="http://schemas.openxmlformats.org/officeDocument/2006/relationships/image" Target="../media/image5.jpeg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7.xml"/><Relationship Id="rId5" Type="http://schemas.openxmlformats.org/officeDocument/2006/relationships/chart" Target="../charts/chart68.xml"/><Relationship Id="rId4" Type="http://schemas.openxmlformats.org/officeDocument/2006/relationships/image" Target="../media/image6.png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69.xml"/><Relationship Id="rId5" Type="http://schemas.openxmlformats.org/officeDocument/2006/relationships/chart" Target="../charts/chart70.xml"/><Relationship Id="rId4" Type="http://schemas.openxmlformats.org/officeDocument/2006/relationships/image" Target="../media/image6.png"/></Relationships>
</file>

<file path=xl/drawings/_rels/drawing1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1.xml"/><Relationship Id="rId5" Type="http://schemas.openxmlformats.org/officeDocument/2006/relationships/chart" Target="../charts/chart72.xml"/><Relationship Id="rId4" Type="http://schemas.openxmlformats.org/officeDocument/2006/relationships/image" Target="../media/image6.png"/></Relationships>
</file>

<file path=xl/drawings/_rels/drawing1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3.xml"/><Relationship Id="rId6" Type="http://schemas.openxmlformats.org/officeDocument/2006/relationships/chart" Target="../charts/chart75.xml"/><Relationship Id="rId5" Type="http://schemas.openxmlformats.org/officeDocument/2006/relationships/image" Target="../media/image6.png"/><Relationship Id="rId4" Type="http://schemas.openxmlformats.org/officeDocument/2006/relationships/chart" Target="../charts/chart74.xml"/></Relationships>
</file>

<file path=xl/drawings/_rels/drawing1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6.xml"/><Relationship Id="rId6" Type="http://schemas.openxmlformats.org/officeDocument/2006/relationships/chart" Target="../charts/chart78.xml"/><Relationship Id="rId5" Type="http://schemas.openxmlformats.org/officeDocument/2006/relationships/image" Target="../media/image6.png"/><Relationship Id="rId4" Type="http://schemas.openxmlformats.org/officeDocument/2006/relationships/chart" Target="../charts/chart77.xml"/></Relationships>
</file>

<file path=xl/drawings/_rels/drawing1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9.xml"/><Relationship Id="rId6" Type="http://schemas.openxmlformats.org/officeDocument/2006/relationships/chart" Target="../charts/chart81.xml"/><Relationship Id="rId5" Type="http://schemas.openxmlformats.org/officeDocument/2006/relationships/image" Target="../media/image6.png"/><Relationship Id="rId4" Type="http://schemas.openxmlformats.org/officeDocument/2006/relationships/chart" Target="../charts/chart80.xml"/></Relationships>
</file>

<file path=xl/drawings/_rels/drawing1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2.xml"/><Relationship Id="rId4" Type="http://schemas.openxmlformats.org/officeDocument/2006/relationships/image" Target="../media/image2.png"/></Relationships>
</file>

<file path=xl/drawings/_rels/drawing1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3.xml"/><Relationship Id="rId4" Type="http://schemas.openxmlformats.org/officeDocument/2006/relationships/image" Target="../media/image2.png"/></Relationships>
</file>

<file path=xl/drawings/_rels/drawing1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84.xml"/><Relationship Id="rId4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17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14.xml"/><Relationship Id="rId6" Type="http://schemas.openxmlformats.org/officeDocument/2006/relationships/chart" Target="../charts/chart16.xml"/><Relationship Id="rId5" Type="http://schemas.openxmlformats.org/officeDocument/2006/relationships/chart" Target="../charts/chart15.xml"/><Relationship Id="rId4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18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1.xml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2.xml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3.xml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5.xml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1.xml"/><Relationship Id="rId13" Type="http://schemas.openxmlformats.org/officeDocument/2006/relationships/chart" Target="../charts/chart36.xml"/><Relationship Id="rId3" Type="http://schemas.openxmlformats.org/officeDocument/2006/relationships/image" Target="../media/image3.png"/><Relationship Id="rId7" Type="http://schemas.openxmlformats.org/officeDocument/2006/relationships/chart" Target="../charts/chart30.xml"/><Relationship Id="rId12" Type="http://schemas.openxmlformats.org/officeDocument/2006/relationships/chart" Target="../charts/chart35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27.xml"/><Relationship Id="rId6" Type="http://schemas.openxmlformats.org/officeDocument/2006/relationships/chart" Target="../charts/chart29.xml"/><Relationship Id="rId11" Type="http://schemas.openxmlformats.org/officeDocument/2006/relationships/chart" Target="../charts/chart34.xml"/><Relationship Id="rId5" Type="http://schemas.openxmlformats.org/officeDocument/2006/relationships/chart" Target="../charts/chart28.xml"/><Relationship Id="rId15" Type="http://schemas.openxmlformats.org/officeDocument/2006/relationships/chart" Target="../charts/chart38.xml"/><Relationship Id="rId10" Type="http://schemas.openxmlformats.org/officeDocument/2006/relationships/chart" Target="../charts/chart33.xml"/><Relationship Id="rId4" Type="http://schemas.openxmlformats.org/officeDocument/2006/relationships/image" Target="../media/image2.png"/><Relationship Id="rId9" Type="http://schemas.openxmlformats.org/officeDocument/2006/relationships/chart" Target="../charts/chart32.xml"/><Relationship Id="rId14" Type="http://schemas.openxmlformats.org/officeDocument/2006/relationships/chart" Target="../charts/chart3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42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Relationship Id="rId6" Type="http://schemas.openxmlformats.org/officeDocument/2006/relationships/chart" Target="../charts/chart41.xml"/><Relationship Id="rId5" Type="http://schemas.openxmlformats.org/officeDocument/2006/relationships/chart" Target="../charts/chart40.xml"/><Relationship Id="rId4" Type="http://schemas.openxmlformats.org/officeDocument/2006/relationships/image" Target="../media/image2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7.xml"/><Relationship Id="rId13" Type="http://schemas.openxmlformats.org/officeDocument/2006/relationships/chart" Target="../charts/chart52.xml"/><Relationship Id="rId3" Type="http://schemas.openxmlformats.org/officeDocument/2006/relationships/image" Target="../media/image3.png"/><Relationship Id="rId7" Type="http://schemas.openxmlformats.org/officeDocument/2006/relationships/chart" Target="../charts/chart46.xml"/><Relationship Id="rId12" Type="http://schemas.openxmlformats.org/officeDocument/2006/relationships/chart" Target="../charts/chart51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55.xml"/><Relationship Id="rId1" Type="http://schemas.openxmlformats.org/officeDocument/2006/relationships/chart" Target="../charts/chart43.xml"/><Relationship Id="rId6" Type="http://schemas.openxmlformats.org/officeDocument/2006/relationships/chart" Target="../charts/chart45.xml"/><Relationship Id="rId11" Type="http://schemas.openxmlformats.org/officeDocument/2006/relationships/chart" Target="../charts/chart50.xml"/><Relationship Id="rId5" Type="http://schemas.openxmlformats.org/officeDocument/2006/relationships/chart" Target="../charts/chart44.xml"/><Relationship Id="rId15" Type="http://schemas.openxmlformats.org/officeDocument/2006/relationships/chart" Target="../charts/chart54.xml"/><Relationship Id="rId10" Type="http://schemas.openxmlformats.org/officeDocument/2006/relationships/chart" Target="../charts/chart49.xml"/><Relationship Id="rId4" Type="http://schemas.openxmlformats.org/officeDocument/2006/relationships/image" Target="../media/image2.png"/><Relationship Id="rId9" Type="http://schemas.openxmlformats.org/officeDocument/2006/relationships/chart" Target="../charts/chart48.xml"/><Relationship Id="rId14" Type="http://schemas.openxmlformats.org/officeDocument/2006/relationships/chart" Target="../charts/chart53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.xml"/><Relationship Id="rId13" Type="http://schemas.openxmlformats.org/officeDocument/2006/relationships/chart" Target="../charts/chart10.xml"/><Relationship Id="rId3" Type="http://schemas.openxmlformats.org/officeDocument/2006/relationships/image" Target="../media/image3.png"/><Relationship Id="rId7" Type="http://schemas.openxmlformats.org/officeDocument/2006/relationships/chart" Target="../charts/chart4.xml"/><Relationship Id="rId12" Type="http://schemas.openxmlformats.org/officeDocument/2006/relationships/chart" Target="../charts/chart9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13.xml"/><Relationship Id="rId1" Type="http://schemas.openxmlformats.org/officeDocument/2006/relationships/chart" Target="../charts/chart1.xml"/><Relationship Id="rId6" Type="http://schemas.openxmlformats.org/officeDocument/2006/relationships/chart" Target="../charts/chart3.xml"/><Relationship Id="rId11" Type="http://schemas.openxmlformats.org/officeDocument/2006/relationships/chart" Target="../charts/chart8.xml"/><Relationship Id="rId5" Type="http://schemas.openxmlformats.org/officeDocument/2006/relationships/chart" Target="../charts/chart2.xml"/><Relationship Id="rId15" Type="http://schemas.openxmlformats.org/officeDocument/2006/relationships/chart" Target="../charts/chart12.xml"/><Relationship Id="rId10" Type="http://schemas.openxmlformats.org/officeDocument/2006/relationships/chart" Target="../charts/chart7.xml"/><Relationship Id="rId4" Type="http://schemas.openxmlformats.org/officeDocument/2006/relationships/image" Target="../media/image2.png"/><Relationship Id="rId9" Type="http://schemas.openxmlformats.org/officeDocument/2006/relationships/chart" Target="../charts/chart6.xml"/><Relationship Id="rId14" Type="http://schemas.openxmlformats.org/officeDocument/2006/relationships/chart" Target="../charts/chart11.xml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chart" Target="../charts/chart59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56.xml"/><Relationship Id="rId6" Type="http://schemas.openxmlformats.org/officeDocument/2006/relationships/chart" Target="../charts/chart58.xml"/><Relationship Id="rId5" Type="http://schemas.openxmlformats.org/officeDocument/2006/relationships/chart" Target="../charts/chart57.xml"/><Relationship Id="rId4" Type="http://schemas.openxmlformats.org/officeDocument/2006/relationships/image" Target="../media/image2.png"/></Relationships>
</file>

<file path=xl/drawings/_rels/drawing91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7" Type="http://schemas.openxmlformats.org/officeDocument/2006/relationships/chart" Target="../charts/chart63.xml"/><Relationship Id="rId2" Type="http://schemas.openxmlformats.org/officeDocument/2006/relationships/chart" Target="../charts/chart61.xml"/><Relationship Id="rId1" Type="http://schemas.openxmlformats.org/officeDocument/2006/relationships/chart" Target="../charts/chart60.xml"/><Relationship Id="rId6" Type="http://schemas.openxmlformats.org/officeDocument/2006/relationships/chart" Target="../charts/chart62.xml"/><Relationship Id="rId5" Type="http://schemas.openxmlformats.org/officeDocument/2006/relationships/image" Target="../media/image2.png"/><Relationship Id="rId4" Type="http://schemas.openxmlformats.org/officeDocument/2006/relationships/image" Target="../media/image3.png"/></Relationships>
</file>

<file path=xl/drawings/_rels/drawing9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3.pn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5934075</xdr:colOff>
      <xdr:row>1</xdr:row>
      <xdr:rowOff>171450</xdr:rowOff>
    </xdr:from>
    <xdr:to>
      <xdr:col>1</xdr:col>
      <xdr:colOff>9159636</xdr:colOff>
      <xdr:row>3</xdr:row>
      <xdr:rowOff>131340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7A1C4F2-9F8D-47CA-8AC4-BCA02FF9C2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8475" y="361950"/>
          <a:ext cx="3225561" cy="874290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españoles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72C2DB4-E800-440D-A804-D8DB4A76B9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BA00BE1-12D5-4E89-914F-3EEE8B724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399A7918-B7E8-40DF-8EC5-EFAFA6516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15921B40-76E3-4F0F-A357-6AFFED218C51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531E95C8-C74D-0475-8F84-E1E05117C87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D5A774D-683A-F13B-E2EC-9A030857D77E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españoles</a:t>
            </a:r>
          </a:p>
        </xdr:txBody>
      </xdr:sp>
    </xdr:grp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1060453</xdr:colOff>
      <xdr:row>14</xdr:row>
      <xdr:rowOff>38100</xdr:rowOff>
    </xdr:from>
    <xdr:to>
      <xdr:col>6</xdr:col>
      <xdr:colOff>705803</xdr:colOff>
      <xdr:row>35</xdr:row>
      <xdr:rowOff>120967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D219C28-6FE0-4A1E-8EB7-AF3190A4AF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7</xdr:col>
      <xdr:colOff>448944</xdr:colOff>
      <xdr:row>13</xdr:row>
      <xdr:rowOff>73025</xdr:rowOff>
    </xdr:from>
    <xdr:to>
      <xdr:col>14</xdr:col>
      <xdr:colOff>369570</xdr:colOff>
      <xdr:row>30</xdr:row>
      <xdr:rowOff>135890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1EF030A-76DD-4201-9E53-2DDAC2473D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659130</xdr:colOff>
      <xdr:row>1</xdr:row>
      <xdr:rowOff>152400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3B77FD0C-0C04-41E9-8C74-95E4E7BF4C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16900" y="38100"/>
          <a:ext cx="49720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14</xdr:row>
      <xdr:rowOff>95250</xdr:rowOff>
    </xdr:from>
    <xdr:ext cx="9191626" cy="4545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27F6E874-EA87-4631-842E-CE974B7839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597195</xdr:colOff>
      <xdr:row>1</xdr:row>
      <xdr:rowOff>102870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01A23E0F-DB0C-459A-B8C0-CE3C39493B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8295" cy="483870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31758F8E-4084-474F-8EDA-80184F875402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rPr>
            <a:t>Insular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de Tenerife. ELABORACIÓN: Turismo de Tenerife </a:t>
          </a:r>
        </a:p>
      </cdr:txBody>
    </cdr:sp>
  </cdr:relSizeAnchor>
  <cdr:relSizeAnchor xmlns:cdr="http://schemas.openxmlformats.org/drawingml/2006/chartDrawing">
    <cdr:from>
      <cdr:x>0.39564</cdr:x>
      <cdr:y>0.35377</cdr:y>
    </cdr:from>
    <cdr:to>
      <cdr:x>0.91656</cdr:x>
      <cdr:y>0.48035</cdr:y>
    </cdr:to>
    <cdr:sp macro="" textlink="">
      <cdr:nvSpPr>
        <cdr:cNvPr id="6" name="Cerrar llave 5">
          <a:extLst xmlns:a="http://schemas.openxmlformats.org/drawingml/2006/main">
            <a:ext uri="{FF2B5EF4-FFF2-40B4-BE49-F238E27FC236}">
              <a16:creationId xmlns:a16="http://schemas.microsoft.com/office/drawing/2014/main" id="{469DACD7-1EE4-4E55-BAAA-E095C61962BC}"/>
            </a:ext>
          </a:extLst>
        </cdr:cNvPr>
        <cdr:cNvSpPr/>
      </cdr:nvSpPr>
      <cdr:spPr>
        <a:xfrm xmlns:a="http://schemas.openxmlformats.org/drawingml/2006/main" rot="16200000">
          <a:off x="4003280" y="-193004"/>
          <a:ext cx="450922" cy="3357458"/>
        </a:xfrm>
        <a:prstGeom xmlns:a="http://schemas.openxmlformats.org/drawingml/2006/main" prst="rightBrace">
          <a:avLst>
            <a:gd name="adj1" fmla="val 8333"/>
            <a:gd name="adj2" fmla="val 46363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0.43619</cdr:x>
      <cdr:y>0.15305</cdr:y>
    </cdr:from>
    <cdr:to>
      <cdr:x>0.82762</cdr:x>
      <cdr:y>0.25178</cdr:y>
    </cdr:to>
    <cdr:sp macro="" textlink="">
      <cdr:nvSpPr>
        <cdr:cNvPr id="7" name="CuadroTexto 3">
          <a:extLst xmlns:a="http://schemas.openxmlformats.org/drawingml/2006/main">
            <a:ext uri="{FF2B5EF4-FFF2-40B4-BE49-F238E27FC236}">
              <a16:creationId xmlns:a16="http://schemas.microsoft.com/office/drawing/2014/main" id="{277374B0-BFCC-495F-8F00-B86CEDAE30F1}"/>
            </a:ext>
          </a:extLst>
        </cdr:cNvPr>
        <cdr:cNvSpPr txBox="1"/>
      </cdr:nvSpPr>
      <cdr:spPr>
        <a:xfrm xmlns:a="http://schemas.openxmlformats.org/drawingml/2006/main">
          <a:off x="2811353" y="545212"/>
          <a:ext cx="2522863" cy="35171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65000"/>
                  <a:lumOff val="35000"/>
                </a:schemeClr>
              </a:solidFill>
            </a:rPr>
            <a:t>Total</a:t>
          </a:r>
          <a:r>
            <a:rPr lang="es-ES" sz="1600" b="1" baseline="0">
              <a:solidFill>
                <a:schemeClr val="tx1">
                  <a:lumMod val="65000"/>
                  <a:lumOff val="35000"/>
                </a:schemeClr>
              </a:solidFill>
            </a:rPr>
            <a:t> turismo canario</a:t>
          </a:r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0.57735</cdr:x>
      <cdr:y>0.27208</cdr:y>
    </cdr:from>
    <cdr:to>
      <cdr:x>0.68978</cdr:x>
      <cdr:y>0.33541</cdr:y>
    </cdr:to>
    <cdr:sp macro="" textlink="'distribución españoles x Resid'!$O$9">
      <cdr:nvSpPr>
        <cdr:cNvPr id="8" name="CuadroTexto 3">
          <a:extLst xmlns:a="http://schemas.openxmlformats.org/drawingml/2006/main">
            <a:ext uri="{FF2B5EF4-FFF2-40B4-BE49-F238E27FC236}">
              <a16:creationId xmlns:a16="http://schemas.microsoft.com/office/drawing/2014/main" id="{4C9EE597-C83C-44F2-B4A3-633066BB0BF2}"/>
            </a:ext>
          </a:extLst>
        </cdr:cNvPr>
        <cdr:cNvSpPr txBox="1"/>
      </cdr:nvSpPr>
      <cdr:spPr>
        <a:xfrm xmlns:a="http://schemas.openxmlformats.org/drawingml/2006/main">
          <a:off x="3817377" y="1110490"/>
          <a:ext cx="743379" cy="258479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12700">
          <a:solidFill>
            <a:schemeClr val="accent3"/>
          </a:solidFill>
        </a:ln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8EB6A94-6C61-4F4A-B0DF-7DBBFCDFD143}" type="TxLink">
            <a:rPr lang="en-US" sz="1200" b="1" i="0" u="none" strike="noStrike">
              <a:solidFill>
                <a:schemeClr val="accent3"/>
              </a:solidFill>
              <a:latin typeface="Calibri"/>
              <a:ea typeface="Calibri"/>
              <a:cs typeface="Calibri"/>
            </a:rPr>
            <a:pPr algn="ctr"/>
            <a:t>29,1%</a:t>
          </a:fld>
          <a:endParaRPr lang="es-ES" sz="14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0.56188</cdr:x>
      <cdr:y>0.21162</cdr:y>
    </cdr:from>
    <cdr:to>
      <cdr:x>0.70176</cdr:x>
      <cdr:y>0.28983</cdr:y>
    </cdr:to>
    <cdr:sp macro="" textlink="'distribución españoles x Resid'!$N$9">
      <cdr:nvSpPr>
        <cdr:cNvPr id="9" name="CuadroTexto 3">
          <a:extLst xmlns:a="http://schemas.openxmlformats.org/drawingml/2006/main">
            <a:ext uri="{FF2B5EF4-FFF2-40B4-BE49-F238E27FC236}">
              <a16:creationId xmlns:a16="http://schemas.microsoft.com/office/drawing/2014/main" id="{B06674D6-B1FE-43AA-BD4E-1158A6AF831A}"/>
            </a:ext>
          </a:extLst>
        </cdr:cNvPr>
        <cdr:cNvSpPr txBox="1"/>
      </cdr:nvSpPr>
      <cdr:spPr>
        <a:xfrm xmlns:a="http://schemas.openxmlformats.org/drawingml/2006/main">
          <a:off x="3621442" y="753872"/>
          <a:ext cx="901561" cy="27861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DFE3520-A142-44BE-949C-98BD71D40043}" type="TxLink">
            <a:rPr lang="en-US" sz="14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 algn="ctr"/>
            <a:t>44.044</a:t>
          </a:fld>
          <a:endParaRPr lang="es-ES" sz="1600" b="1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0.70672</cdr:x>
      <cdr:y>0.26753</cdr:y>
    </cdr:from>
    <cdr:to>
      <cdr:x>0.82251</cdr:x>
      <cdr:y>0.33257</cdr:y>
    </cdr:to>
    <cdr:sp macro="" textlink="'distribución españoles x Resid'!$S$9">
      <cdr:nvSpPr>
        <cdr:cNvPr id="16" name="CuadroTexto 15">
          <a:extLst xmlns:a="http://schemas.openxmlformats.org/drawingml/2006/main">
            <a:ext uri="{FF2B5EF4-FFF2-40B4-BE49-F238E27FC236}">
              <a16:creationId xmlns:a16="http://schemas.microsoft.com/office/drawing/2014/main" id="{35529699-B5DE-4E82-9402-691AEDFDDCDC}"/>
            </a:ext>
          </a:extLst>
        </cdr:cNvPr>
        <cdr:cNvSpPr txBox="1"/>
      </cdr:nvSpPr>
      <cdr:spPr>
        <a:xfrm xmlns:a="http://schemas.openxmlformats.org/drawingml/2006/main">
          <a:off x="4672792" y="1091930"/>
          <a:ext cx="765596" cy="265458"/>
        </a:xfrm>
        <a:prstGeom xmlns:a="http://schemas.openxmlformats.org/drawingml/2006/main" prst="rect">
          <a:avLst/>
        </a:prstGeom>
        <a:ln xmlns:a="http://schemas.openxmlformats.org/drawingml/2006/main">
          <a:solidFill>
            <a:schemeClr val="bg1">
              <a:lumMod val="65000"/>
            </a:schemeClr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E3A6F43F-5657-4BB1-A66C-84C7CA060AD7}" type="TxLink">
            <a:rPr lang="en-US" sz="1100" b="1" i="0" u="none" strike="noStrike">
              <a:solidFill>
                <a:schemeClr val="bg1">
                  <a:lumMod val="65000"/>
                </a:schemeClr>
              </a:solidFill>
              <a:latin typeface="Calibri"/>
              <a:ea typeface="Calibri"/>
              <a:cs typeface="Calibri"/>
            </a:rPr>
            <a:pPr algn="ctr"/>
            <a:t>50,2%</a:t>
          </a:fld>
          <a:endParaRPr lang="es-ES" sz="1200">
            <a:solidFill>
              <a:schemeClr val="bg1">
                <a:lumMod val="6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0.17381</cdr:y>
    </cdr:to>
    <cdr:sp macro="" textlink="'distribución españoles x Resid'!$B$3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55D3B39E-6851-4C36-B8B6-6CD68DC2EBAC}"/>
            </a:ext>
          </a:extLst>
        </cdr:cNvPr>
        <cdr:cNvSpPr txBox="1"/>
      </cdr:nvSpPr>
      <cdr:spPr>
        <a:xfrm xmlns:a="http://schemas.openxmlformats.org/drawingml/2006/main">
          <a:off x="0" y="0"/>
          <a:ext cx="6611935" cy="6762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CF2B8F0-D7E4-4DC8-B136-07E75A981FB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Santa Cruz de Tenerife según lugar de residencia</a:t>
          </a:fld>
          <a:endParaRPr lang="es-ES" sz="1800">
            <a:solidFill>
              <a:schemeClr val="tx1">
                <a:lumMod val="50000"/>
                <a:lumOff val="50000"/>
              </a:schemeClr>
            </a:solidFill>
          </a:endParaRPr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0.0087</cdr:x>
      <cdr:y>0</cdr:y>
    </cdr:from>
    <cdr:to>
      <cdr:x>0.99216</cdr:x>
      <cdr:y>0.2219</cdr:y>
    </cdr:to>
    <cdr:sp macro="" textlink="'distribución españoles x Resid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57150" y="0"/>
          <a:ext cx="6460423" cy="73257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Santa Cruz de Tenerife  por lugar de residencia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0.70361</cdr:x>
      <cdr:y>0.21422</cdr:y>
    </cdr:from>
    <cdr:to>
      <cdr:x>0.75287</cdr:x>
      <cdr:y>0.88569</cdr:y>
    </cdr:to>
    <cdr:sp macro="" textlink="">
      <cdr:nvSpPr>
        <cdr:cNvPr id="9" name="Cerrar llave 8">
          <a:extLst xmlns:a="http://schemas.openxmlformats.org/drawingml/2006/main">
            <a:ext uri="{FF2B5EF4-FFF2-40B4-BE49-F238E27FC236}">
              <a16:creationId xmlns:a16="http://schemas.microsoft.com/office/drawing/2014/main" id="{86FD90C6-C671-486D-8C54-9121492BC7EB}"/>
            </a:ext>
          </a:extLst>
        </cdr:cNvPr>
        <cdr:cNvSpPr/>
      </cdr:nvSpPr>
      <cdr:spPr>
        <a:xfrm xmlns:a="http://schemas.openxmlformats.org/drawingml/2006/main">
          <a:off x="5441950" y="708025"/>
          <a:ext cx="381000" cy="2219325"/>
        </a:xfrm>
        <a:prstGeom xmlns:a="http://schemas.openxmlformats.org/drawingml/2006/main" prst="rightBrace">
          <a:avLst>
            <a:gd name="adj1" fmla="val 8333"/>
            <a:gd name="adj2" fmla="val 29829"/>
          </a:avLst>
        </a:prstGeom>
        <a:ln xmlns:a="http://schemas.openxmlformats.org/drawingml/2006/main">
          <a:solidFill>
            <a:schemeClr val="bg1">
              <a:lumMod val="50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s-ES"/>
        </a:p>
      </cdr:txBody>
    </cdr:sp>
  </cdr:relSizeAnchor>
  <cdr:relSizeAnchor xmlns:cdr="http://schemas.openxmlformats.org/drawingml/2006/chartDrawing">
    <cdr:from>
      <cdr:x>0.75237</cdr:x>
      <cdr:y>0.25456</cdr:y>
    </cdr:from>
    <cdr:to>
      <cdr:x>0.99397</cdr:x>
      <cdr:y>0.53122</cdr:y>
    </cdr:to>
    <cdr:grpSp>
      <cdr:nvGrpSpPr>
        <cdr:cNvPr id="19" name="Grupo 18">
          <a:extLst xmlns:a="http://schemas.openxmlformats.org/drawingml/2006/main">
            <a:ext uri="{FF2B5EF4-FFF2-40B4-BE49-F238E27FC236}">
              <a16:creationId xmlns:a16="http://schemas.microsoft.com/office/drawing/2014/main" id="{43E73BE4-588E-45DC-B07F-87A1D48D6B98}"/>
            </a:ext>
          </a:extLst>
        </cdr:cNvPr>
        <cdr:cNvGrpSpPr/>
      </cdr:nvGrpSpPr>
      <cdr:grpSpPr>
        <a:xfrm xmlns:a="http://schemas.openxmlformats.org/drawingml/2006/main">
          <a:off x="4942376" y="840395"/>
          <a:ext cx="1587088" cy="913356"/>
          <a:chOff x="-118136" y="-50384"/>
          <a:chExt cx="1768394" cy="546907"/>
        </a:xfrm>
      </cdr:grpSpPr>
      <cdr:sp macro="" textlink="">
        <cdr:nvSpPr>
          <cdr:cNvPr id="23" name="CuadroTexto 3">
            <a:extLst xmlns:a="http://schemas.openxmlformats.org/drawingml/2006/main">
              <a:ext uri="{FF2B5EF4-FFF2-40B4-BE49-F238E27FC236}">
                <a16:creationId xmlns:a16="http://schemas.microsoft.com/office/drawing/2014/main" id="{C5AD8BF3-D5DB-43D7-800F-DEA9B011B08C}"/>
              </a:ext>
            </a:extLst>
          </cdr:cNvPr>
          <cdr:cNvSpPr txBox="1"/>
        </cdr:nvSpPr>
        <cdr:spPr>
          <a:xfrm xmlns:a="http://schemas.openxmlformats.org/drawingml/2006/main">
            <a:off x="-118136" y="-50384"/>
            <a:ext cx="1768394" cy="546907"/>
          </a:xfrm>
          <a:prstGeom xmlns:a="http://schemas.openxmlformats.org/drawingml/2006/main" prst="rect">
            <a:avLst/>
          </a:prstGeom>
          <a:ln xmlns:a="http://schemas.openxmlformats.org/drawingml/2006/main">
            <a:solidFill>
              <a:schemeClr val="bg1">
                <a:lumMod val="50000"/>
              </a:schemeClr>
            </a:solidFill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algn="ctr"/>
            <a:r>
              <a:rPr lang="es-ES" sz="1400" b="1">
                <a:solidFill>
                  <a:schemeClr val="tx1">
                    <a:lumMod val="65000"/>
                    <a:lumOff val="35000"/>
                  </a:schemeClr>
                </a:solidFill>
              </a:rPr>
              <a:t>Total</a:t>
            </a:r>
            <a:r>
              <a:rPr lang="es-ES" sz="1400" b="1" baseline="0">
                <a:solidFill>
                  <a:schemeClr val="tx1">
                    <a:lumMod val="65000"/>
                    <a:lumOff val="35000"/>
                  </a:schemeClr>
                </a:solidFill>
              </a:rPr>
              <a:t> turismo canario</a:t>
            </a:r>
            <a:endParaRPr lang="es-ES" sz="1400" b="1">
              <a:solidFill>
                <a:schemeClr val="tx1">
                  <a:lumMod val="65000"/>
                  <a:lumOff val="35000"/>
                </a:schemeClr>
              </a:solidFill>
            </a:endParaRPr>
          </a:p>
        </cdr:txBody>
      </cdr:sp>
      <cdr:sp macro="" textlink="'distribución españoles x Resid'!$N$9">
        <cdr:nvSpPr>
          <cdr:cNvPr id="24" name="CuadroTexto 4">
            <a:extLst xmlns:a="http://schemas.openxmlformats.org/drawingml/2006/main">
              <a:ext uri="{FF2B5EF4-FFF2-40B4-BE49-F238E27FC236}">
                <a16:creationId xmlns:a16="http://schemas.microsoft.com/office/drawing/2014/main" id="{7BF59A4D-C9D0-46F6-A505-3100DBB18C12}"/>
              </a:ext>
            </a:extLst>
          </cdr:cNvPr>
          <cdr:cNvSpPr txBox="1"/>
        </cdr:nvSpPr>
        <cdr:spPr>
          <a:xfrm xmlns:a="http://schemas.openxmlformats.org/drawingml/2006/main">
            <a:off x="269366" y="246761"/>
            <a:ext cx="958037" cy="179899"/>
          </a:xfrm>
          <a:prstGeom xmlns:a="http://schemas.openxmlformats.org/drawingml/2006/main" prst="rect">
            <a:avLst/>
          </a:prstGeom>
          <a:ln xmlns:a="http://schemas.openxmlformats.org/drawingml/2006/main">
            <a:noFill/>
          </a:ln>
        </cdr:spPr>
        <cdr:txBody>
          <a:bodyPr xmlns:a="http://schemas.openxmlformats.org/drawingml/2006/main" wrap="squar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/>
            <a:fld id="{412286F5-1A05-47E0-97D1-52FF465F2855}" type="TxLink">
              <a:rPr lang="en-US" sz="1600" b="1" i="0" u="none" strike="noStrike">
                <a:solidFill>
                  <a:srgbClr val="7B8279"/>
                </a:solidFill>
                <a:latin typeface="Calibri"/>
                <a:ea typeface="Calibri"/>
                <a:cs typeface="Calibri"/>
              </a:rPr>
              <a:pPr marL="0" indent="0" algn="ctr"/>
              <a:t>44.044</a:t>
            </a:fld>
            <a:endParaRPr lang="es-ES" sz="2000" b="1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0.73929</cdr:x>
      <cdr:y>0.56868</cdr:y>
    </cdr:from>
    <cdr:to>
      <cdr:x>0.99304</cdr:x>
      <cdr:y>0.84945</cdr:y>
    </cdr:to>
    <cdr:grpSp>
      <cdr:nvGrpSpPr>
        <cdr:cNvPr id="2" name="Grupo 1">
          <a:extLst xmlns:a="http://schemas.openxmlformats.org/drawingml/2006/main">
            <a:ext uri="{FF2B5EF4-FFF2-40B4-BE49-F238E27FC236}">
              <a16:creationId xmlns:a16="http://schemas.microsoft.com/office/drawing/2014/main" id="{4D63E92D-ACB2-45A8-BCA5-E07887F3BD29}"/>
            </a:ext>
          </a:extLst>
        </cdr:cNvPr>
        <cdr:cNvGrpSpPr/>
      </cdr:nvGrpSpPr>
      <cdr:grpSpPr>
        <a:xfrm xmlns:a="http://schemas.openxmlformats.org/drawingml/2006/main">
          <a:off x="4856452" y="1877420"/>
          <a:ext cx="1666903" cy="926924"/>
          <a:chOff x="4210084" y="1879587"/>
          <a:chExt cx="1581328" cy="927994"/>
        </a:xfrm>
      </cdr:grpSpPr>
      <cdr:sp macro="" textlink="">
        <cdr:nvSpPr>
          <cdr:cNvPr id="21" name="4 CuadroTexto">
            <a:extLst xmlns:a="http://schemas.openxmlformats.org/drawingml/2006/main">
              <a:ext uri="{FF2B5EF4-FFF2-40B4-BE49-F238E27FC236}">
                <a16:creationId xmlns:a16="http://schemas.microsoft.com/office/drawing/2014/main" id="{5DDA589D-22D4-4B16-B090-802F84D0510E}"/>
              </a:ext>
            </a:extLst>
          </cdr:cNvPr>
          <cdr:cNvSpPr txBox="1"/>
        </cdr:nvSpPr>
        <cdr:spPr>
          <a:xfrm xmlns:a="http://schemas.openxmlformats.org/drawingml/2006/main">
            <a:off x="4210084" y="1879587"/>
            <a:ext cx="1581328" cy="927994"/>
          </a:xfrm>
          <a:prstGeom xmlns:a="http://schemas.openxmlformats.org/drawingml/2006/main" prst="rect">
            <a:avLst/>
          </a:prstGeom>
          <a:ln xmlns:a="http://schemas.openxmlformats.org/drawingml/2006/main" w="3175">
            <a:solidFill>
              <a:schemeClr val="accent1"/>
            </a:solidFill>
          </a:ln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Turismo Canario</a:t>
            </a:r>
          </a:p>
          <a:p xmlns:a="http://schemas.openxmlformats.org/drawingml/2006/main">
            <a:pPr marL="0" indent="0" algn="ctr">
              <a:lnSpc>
                <a:spcPct val="100000"/>
              </a:lnSpc>
            </a:pPr>
            <a:r>
              <a:rPr lang="es-ES" sz="1400" b="1" i="0" u="none" strike="noStrike" dirty="0">
                <a:solidFill>
                  <a:schemeClr val="accent2"/>
                </a:solidFill>
                <a:latin typeface="Calibri"/>
                <a:ea typeface="+mn-ea"/>
                <a:cs typeface="+mn-cs"/>
              </a:rPr>
              <a:t> </a:t>
            </a:r>
          </a:p>
        </cdr:txBody>
      </cdr:sp>
      <cdr:sp macro="" textlink="'distribución españoles x Resid'!$S$9">
        <cdr:nvSpPr>
          <cdr:cNvPr id="22" name="CuadroTexto 1">
            <a:extLst xmlns:a="http://schemas.openxmlformats.org/drawingml/2006/main">
              <a:ext uri="{FF2B5EF4-FFF2-40B4-BE49-F238E27FC236}">
                <a16:creationId xmlns:a16="http://schemas.microsoft.com/office/drawing/2014/main" id="{7A1FB039-8E15-44CE-9502-D48144CFC5DB}"/>
              </a:ext>
            </a:extLst>
          </cdr:cNvPr>
          <cdr:cNvSpPr txBox="1"/>
        </cdr:nvSpPr>
        <cdr:spPr>
          <a:xfrm xmlns:a="http://schemas.openxmlformats.org/drawingml/2006/main">
            <a:off x="4562251" y="2317629"/>
            <a:ext cx="731698" cy="333174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square" rtlCol="0" anchor="ctr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pPr marL="0" indent="0" algn="r"/>
            <a:fld id="{6252F33D-EF1C-47C4-96A5-DEAC3CCFC160}" type="TxLink">
              <a:rPr lang="en-US" sz="1400" b="1" i="0" u="none" strike="noStrike">
                <a:solidFill>
                  <a:schemeClr val="accent6"/>
                </a:solidFill>
                <a:latin typeface="Calibri"/>
                <a:ea typeface="Calibri"/>
                <a:cs typeface="Calibri"/>
              </a:rPr>
              <a:pPr marL="0" indent="0" algn="r"/>
              <a:t>50,2%</a:t>
            </a:fld>
            <a:endParaRPr lang="es-ES" sz="1800" b="1" i="0" u="none" strike="noStrike">
              <a:solidFill>
                <a:schemeClr val="accent6"/>
              </a:solidFill>
              <a:latin typeface="Calibri"/>
              <a:ea typeface="+mn-ea"/>
              <a:cs typeface="+mn-cs"/>
            </a:endParaRPr>
          </a:p>
        </cdr:txBody>
      </cdr:sp>
    </cdr:grpSp>
  </cdr:relSizeAnchor>
  <cdr:relSizeAnchor xmlns:cdr="http://schemas.openxmlformats.org/drawingml/2006/chartDrawing">
    <cdr:from>
      <cdr:x>0.76539</cdr:x>
      <cdr:y>0.77333</cdr:y>
    </cdr:from>
    <cdr:to>
      <cdr:x>0.97535</cdr:x>
      <cdr:y>0.84538</cdr:y>
    </cdr:to>
    <cdr:sp macro="" textlink="">
      <cdr:nvSpPr>
        <cdr:cNvPr id="26" name="CuadroTexto 1">
          <a:extLst xmlns:a="http://schemas.openxmlformats.org/drawingml/2006/main">
            <a:ext uri="{FF2B5EF4-FFF2-40B4-BE49-F238E27FC236}">
              <a16:creationId xmlns:a16="http://schemas.microsoft.com/office/drawing/2014/main" id="{0D6E40F3-67BA-46DA-9F8A-37F48AFBB0E0}"/>
            </a:ext>
          </a:extLst>
        </cdr:cNvPr>
        <cdr:cNvSpPr txBox="1"/>
      </cdr:nvSpPr>
      <cdr:spPr>
        <a:xfrm xmlns:a="http://schemas.openxmlformats.org/drawingml/2006/main">
          <a:off x="5027931" y="2553033"/>
          <a:ext cx="1379220" cy="2378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1400" b="1" i="0" u="none" strike="noStrike">
              <a:solidFill>
                <a:schemeClr val="accent2"/>
              </a:solidFill>
              <a:latin typeface="Calibri"/>
            </a:rPr>
            <a:t>del total España</a:t>
          </a:r>
          <a:endParaRPr lang="es-ES" sz="1600" b="1">
            <a:solidFill>
              <a:schemeClr val="accent2"/>
            </a:solidFill>
          </a:endParaRP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556587B8-360D-431C-A3D8-0CD42AB25B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6852F0E-6227-4438-B77B-C8B333A066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32AF52C-3160-4A68-932B-BFFDD6F0A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7BEBD5E0-2B6B-40CC-BA20-7EFA2C0E6C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71BC7C3-6684-4714-A6D1-8223AD0694D0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españoles entrados en los hoteles y apartamentos de Santa Cruz de Tenerife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españole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87.725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españole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9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89FCE21B-132C-4C6A-A3A9-409C729408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33C20DF-17E7-4FC9-96A8-2339A61124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51DB0F3-4141-4FC4-80EE-6ED33E3C6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EC1E4026-C84C-42D7-BBD5-553ECBD516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peninsulares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re x cate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lugar categoría del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peninsulare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43.681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peninsulare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608964</xdr:colOff>
      <xdr:row>24</xdr:row>
      <xdr:rowOff>95885</xdr:rowOff>
    </xdr:from>
    <xdr:to>
      <xdr:col>25</xdr:col>
      <xdr:colOff>3809</xdr:colOff>
      <xdr:row>132</xdr:row>
      <xdr:rowOff>62865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FF0F1871-C14A-4E20-9968-6B5851623C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EB4C1207-82C9-4269-A8FD-F43130D20D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2155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D6A1644-9111-435A-A916-5D323D4C58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16</xdr:row>
      <xdr:rowOff>142873</xdr:rowOff>
    </xdr:from>
    <xdr:to>
      <xdr:col>12</xdr:col>
      <xdr:colOff>238125</xdr:colOff>
      <xdr:row>123</xdr:row>
      <xdr:rowOff>180974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FD400C7B-E137-4C25-8364-2BDFBF18EF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os x cate'!$B$3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DD7FDF9-C129-4B73-A2D8-1D48F8148B42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Viajeros canarios entrados en los hoteles y apartamentos de Santa Cruz de Tenerife por tipología y categoría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0.041</cdr:x>
      <cdr:y>0.26031</cdr:y>
    </cdr:from>
    <cdr:to>
      <cdr:x>0.24854</cdr:x>
      <cdr:y>0.41201</cdr:y>
    </cdr:to>
    <cdr:sp macro="" textlink="'distribución canarios x cate'!$AA$19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485A1103-5FB5-B2C6-21B1-F6862E0BCB8F}"/>
            </a:ext>
          </a:extLst>
        </cdr:cNvPr>
        <cdr:cNvSpPr txBox="1"/>
      </cdr:nvSpPr>
      <cdr:spPr>
        <a:xfrm xmlns:a="http://schemas.openxmlformats.org/drawingml/2006/main">
          <a:off x="347469" y="1319893"/>
          <a:ext cx="1758710" cy="769191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1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fld id="{D24D9A57-6BDE-4FF9-BFFC-01600462B1D2}" type="TxLink">
            <a:rPr lang="en-US" sz="1400" b="0" i="0" u="none" strike="noStrike">
              <a:solidFill>
                <a:schemeClr val="accent6">
                  <a:lumMod val="75000"/>
                </a:schemeClr>
              </a:solidFill>
              <a:latin typeface="Calibri"/>
              <a:ea typeface="Calibri"/>
              <a:cs typeface="Calibri"/>
            </a:rPr>
            <a:pPr algn="ctr"/>
            <a:t>Hoteles: 
44.044 viajeros 
cuota: 100,0%</a:t>
          </a:fld>
          <a:endParaRPr lang="es-ES" sz="1400">
            <a:solidFill>
              <a:schemeClr val="accent6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0.77039</cdr:x>
      <cdr:y>0.19841</cdr:y>
    </cdr:from>
    <cdr:to>
      <cdr:x>0.98376</cdr:x>
      <cdr:y>0.34296</cdr:y>
    </cdr:to>
    <cdr:sp macro="" textlink="'distribución canarios x cate'!$AA$20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21E849B-B2E6-1154-D44C-15561EF878B3}"/>
            </a:ext>
          </a:extLst>
        </cdr:cNvPr>
        <cdr:cNvSpPr txBox="1"/>
      </cdr:nvSpPr>
      <cdr:spPr>
        <a:xfrm xmlns:a="http://schemas.openxmlformats.org/drawingml/2006/main">
          <a:off x="6528359" y="1005667"/>
          <a:ext cx="1808114" cy="732662"/>
        </a:xfrm>
        <a:prstGeom xmlns:a="http://schemas.openxmlformats.org/drawingml/2006/main" prst="rect">
          <a:avLst/>
        </a:prstGeom>
        <a:ln xmlns:a="http://schemas.openxmlformats.org/drawingml/2006/main" w="3175">
          <a:solidFill>
            <a:schemeClr val="accent4"/>
          </a:solidFill>
        </a:ln>
      </cdr:spPr>
      <cdr:txBody>
        <a:bodyPr xmlns:a="http://schemas.openxmlformats.org/drawingml/2006/main" vertOverflow="clip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B227F2D-33F7-4897-8363-626781F97EAE}" type="TxLink">
            <a:rPr lang="en-US" sz="1400" b="0" i="0" u="none" strike="noStrike">
              <a:solidFill>
                <a:schemeClr val="accent4"/>
              </a:solidFill>
              <a:latin typeface="Calibri"/>
              <a:ea typeface="+mn-ea"/>
              <a:cs typeface="Calibri"/>
            </a:rPr>
            <a:pPr marL="0" indent="0" algn="ctr"/>
            <a:t>#¡VALOR!</a:t>
          </a:fld>
          <a:endParaRPr lang="es-ES" sz="1400" b="0" i="0" u="none" strike="noStrike">
            <a:solidFill>
              <a:schemeClr val="accent4"/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5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DCDAC930-8C99-406F-B837-840BA1AB1F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6DE024FD-CCBB-47D1-A4FC-75BE30CFD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4677AF5E-F51C-41DB-B49A-50BB461E6A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F9E78808-3655-4544-908D-7D8A89CD1E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579E783-24F2-4BEE-AED5-329E0DD61C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españoles x mun al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españoles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9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E44D4DBB-2334-48A7-8757-106540377A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E668877-68E9-42AF-BBD6-1E66E6102C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F8772D56-984E-4412-9248-B57DB21C04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0F030ACB-C48A-4675-8D96-FEFB60E59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5BC5EF5-CF67-46A1-86FC-E94F724951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canarios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peninsula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peninsulares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3.xml><?xml version="1.0" encoding="utf-8"?>
<xdr:wsDr xmlns:xdr="http://schemas.openxmlformats.org/drawingml/2006/spreadsheetDrawing" xmlns:a="http://schemas.openxmlformats.org/drawingml/2006/main">
  <xdr:twoCellAnchor editAs="absolute">
    <xdr:from>
      <xdr:col>12</xdr:col>
      <xdr:colOff>818515</xdr:colOff>
      <xdr:row>21</xdr:row>
      <xdr:rowOff>73025</xdr:rowOff>
    </xdr:from>
    <xdr:to>
      <xdr:col>21</xdr:col>
      <xdr:colOff>59056</xdr:colOff>
      <xdr:row>125</xdr:row>
      <xdr:rowOff>15240</xdr:rowOff>
    </xdr:to>
    <xdr:graphicFrame macro="">
      <xdr:nvGraphicFramePr>
        <xdr:cNvPr id="2" name="2 Gráfico">
          <a:extLst>
            <a:ext uri="{FF2B5EF4-FFF2-40B4-BE49-F238E27FC236}">
              <a16:creationId xmlns:a16="http://schemas.microsoft.com/office/drawing/2014/main" id="{6B4DB20C-976E-410A-A3AD-AC6A1ABE4D0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22</xdr:col>
      <xdr:colOff>161925</xdr:colOff>
      <xdr:row>0</xdr:row>
      <xdr:rowOff>38100</xdr:rowOff>
    </xdr:from>
    <xdr:to>
      <xdr:col>22</xdr:col>
      <xdr:colOff>666750</xdr:colOff>
      <xdr:row>1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693FB59-1ECE-4845-A08F-938F00A661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50300" y="38100"/>
          <a:ext cx="504825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30</xdr:col>
      <xdr:colOff>552449</xdr:colOff>
      <xdr:row>19</xdr:row>
      <xdr:rowOff>95250</xdr:rowOff>
    </xdr:from>
    <xdr:ext cx="9191626" cy="4545000"/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7C016A09-DDEC-400F-8413-6058A2C307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589575</xdr:colOff>
      <xdr:row>1</xdr:row>
      <xdr:rowOff>97155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17E4DCF5-2C78-4700-883A-1B8F076E77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70675" cy="478155"/>
        </a:xfrm>
        <a:prstGeom prst="rect">
          <a:avLst/>
        </a:prstGeom>
      </xdr:spPr>
    </xdr:pic>
    <xdr:clientData/>
  </xdr:twoCellAnchor>
  <xdr:twoCellAnchor>
    <xdr:from>
      <xdr:col>0</xdr:col>
      <xdr:colOff>909636</xdr:colOff>
      <xdr:row>20</xdr:row>
      <xdr:rowOff>142873</xdr:rowOff>
    </xdr:from>
    <xdr:to>
      <xdr:col>12</xdr:col>
      <xdr:colOff>76200</xdr:colOff>
      <xdr:row>127</xdr:row>
      <xdr:rowOff>180974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377690F0-C73A-4EAB-BC18-AFD27FFA8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0.95573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10A6DA9C-579B-4317-8004-9093C32CC0FD}"/>
            </a:ext>
          </a:extLst>
        </cdr:cNvPr>
        <cdr:cNvSpPr txBox="1"/>
      </cdr:nvSpPr>
      <cdr:spPr>
        <a:xfrm xmlns:a="http://schemas.openxmlformats.org/drawingml/2006/main">
          <a:off x="0" y="4318000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0.2219</cdr:y>
    </cdr:to>
    <cdr:sp macro="" textlink="'distribución canarias x munici'!$B$1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D057B0D6-92AC-44E6-A3F0-60D32F0574F6}"/>
            </a:ext>
          </a:extLst>
        </cdr:cNvPr>
        <cdr:cNvSpPr txBox="1"/>
      </cdr:nvSpPr>
      <cdr:spPr>
        <a:xfrm xmlns:a="http://schemas.openxmlformats.org/drawingml/2006/main">
          <a:off x="0" y="0"/>
          <a:ext cx="5735539" cy="7334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31E5DE-9ED6-468A-966E-E24316C30A9D}" type="TxLink">
            <a:rPr lang="en-US" sz="1600" b="1" i="0" u="none" strike="noStrike" baseline="0">
              <a:solidFill>
                <a:srgbClr val="7B8279"/>
              </a:solidFill>
              <a:effectLst/>
              <a:latin typeface="Calibri"/>
              <a:ea typeface="+mn-ea"/>
              <a:cs typeface="Calibri"/>
            </a:rPr>
            <a:pPr marL="0" marR="0" lvl="0" indent="0" algn="l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viajeros canarios entrados en hoteles y apartamentos de Tenerife por municipio de alojamiento</a:t>
          </a:fld>
          <a:endParaRPr lang="en-US" sz="1600" b="1" i="0" u="none" strike="noStrike" baseline="0">
            <a:solidFill>
              <a:srgbClr val="7B8279"/>
            </a:solidFill>
            <a:effectLst/>
            <a:latin typeface="Calibri"/>
            <a:ea typeface="+mn-ea"/>
            <a:cs typeface="Calibri"/>
          </a:endParaRP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0.96396</cdr:y>
    </cdr:from>
    <cdr:to>
      <cdr:x>0.46659</cdr:x>
      <cdr:y>0.99246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835B97E9-A6BA-4699-B50D-73341AE2757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54829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0.12489</cdr:y>
    </cdr:from>
    <cdr:to>
      <cdr:x>1</cdr:x>
      <cdr:y>0.12489</cdr:y>
    </cdr:to>
    <cdr:cxnSp macro="">
      <cdr:nvCxnSpPr>
        <cdr:cNvPr id="6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FE23C6-CFC7-4969-9CB5-AD9AB9F14D6D}"/>
            </a:ext>
          </a:extLst>
        </cdr:cNvPr>
        <cdr:cNvCxnSpPr/>
      </cdr:nvCxnSpPr>
      <cdr:spPr>
        <a:xfrm xmlns:a="http://schemas.openxmlformats.org/drawingml/2006/main">
          <a:off x="3678" y="609064"/>
          <a:ext cx="75020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7" name="1 Conector recto">
          <a:extLst xmlns:a="http://schemas.openxmlformats.org/drawingml/2006/main">
            <a:ext uri="{FF2B5EF4-FFF2-40B4-BE49-F238E27FC236}">
              <a16:creationId xmlns:a16="http://schemas.microsoft.com/office/drawing/2014/main" id="{3BA969A3-DA45-4D06-BE89-EA2703541B1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0.9614</cdr:y>
    </cdr:from>
    <cdr:to>
      <cdr:x>0.71535</cdr:x>
      <cdr:y>1</cdr:y>
    </cdr:to>
    <cdr:sp macro="" textlink="">
      <cdr:nvSpPr>
        <cdr:cNvPr id="2" name="4 CuadroTexto">
          <a:extLst xmlns:a="http://schemas.openxmlformats.org/drawingml/2006/main">
            <a:ext uri="{FF2B5EF4-FFF2-40B4-BE49-F238E27FC236}">
              <a16:creationId xmlns:a16="http://schemas.microsoft.com/office/drawing/2014/main" id="{0D988794-9A26-B8B3-12AC-A4523A2C68C0}"/>
            </a:ext>
          </a:extLst>
        </cdr:cNvPr>
        <cdr:cNvSpPr txBox="1"/>
      </cdr:nvSpPr>
      <cdr:spPr>
        <a:xfrm xmlns:a="http://schemas.openxmlformats.org/drawingml/2006/main">
          <a:off x="0" y="4981576"/>
          <a:ext cx="6530976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EDD7DB0E-50DA-4971-99D2-CC5AB145CA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8AE99F5-A8BF-4BA3-9DDE-C9780132BC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B845464-3462-4798-9E93-673E36EEDC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españo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españoles entrados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CB9DA99-0B4C-4762-94A9-AB46DF00C0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0332D4C-1ADE-478F-A00E-8674F34A48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717EB8F-94BF-4EAF-B558-865CD8331D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extranjeros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3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penins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peninsulares entrados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457199</xdr:colOff>
      <xdr:row>2</xdr:row>
      <xdr:rowOff>114299</xdr:rowOff>
    </xdr:from>
    <xdr:to>
      <xdr:col>15</xdr:col>
      <xdr:colOff>355199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8EC0AB5-8580-47CB-92B4-AC08DE7D3D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B1A459C-5192-447B-ABF2-817C68EBFA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5087C662-A2AF-4AFE-89B4-FD759B2FCC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volución anual viaj ent canari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canarios entrados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británicos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0.12237</cdr:y>
    </cdr:to>
    <cdr:sp macro="" textlink="'Viajeros entr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9479"/>
          <a:ext cx="8829676" cy="59012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alemanes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franceses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holandeses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belgas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361950</xdr:colOff>
      <xdr:row>2</xdr:row>
      <xdr:rowOff>133631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A6B572E-27C6-4F34-AAF5-C6CB6DDC49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0</xdr:rowOff>
    </xdr:from>
    <xdr:to>
      <xdr:col>1</xdr:col>
      <xdr:colOff>0</xdr:colOff>
      <xdr:row>5</xdr:row>
      <xdr:rowOff>284480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09DF839-A0CF-4A10-B686-C4D983FAAC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71500"/>
          <a:ext cx="762000" cy="65595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daneses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suecos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52C81DA-376C-4C6C-AA90-DBEE224BBB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C0F1741-E847-46AB-8C1A-4C43C6DD22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FB7AA322-8E26-4F81-94BD-AA24F1D12A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34AC76E-73B2-442C-95A1-5265B2242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104775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19D3494A-250B-47D7-BE66-002F52AF19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59311B6E-5E61-4B4D-A26B-A12A8ED19F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2F2B6985-80C7-4ABA-8451-60B3D24CF0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F2BB5E55-5142-4FC5-A736-017B884316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Santa Cruz de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4, 5 estrellas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entrados en los hoteles de 1, 2, 3 estrellas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0.91106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1E746101-EB15-832B-6A67-4574788CA446}"/>
            </a:ext>
          </a:extLst>
        </cdr:cNvPr>
        <cdr:cNvSpPr txBox="1"/>
      </cdr:nvSpPr>
      <cdr:spPr>
        <a:xfrm xmlns:a="http://schemas.openxmlformats.org/drawingml/2006/main">
          <a:off x="0" y="4000488"/>
          <a:ext cx="4268009" cy="390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2020 no se publicó la desagregación por categorías en las Islas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428624</xdr:colOff>
      <xdr:row>2</xdr:row>
      <xdr:rowOff>114299</xdr:rowOff>
    </xdr:from>
    <xdr:to>
      <xdr:col>15</xdr:col>
      <xdr:colOff>326624</xdr:colOff>
      <xdr:row>24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74D7E7B-6AB3-4767-A8C6-13187360C8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847725</xdr:colOff>
      <xdr:row>3</xdr:row>
      <xdr:rowOff>714375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048E070-8EBF-4C62-8E7B-61EA76FCEB5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866775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06FDC99-84C0-406C-9BB4-D44D103AA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  <xdr:twoCellAnchor>
    <xdr:from>
      <xdr:col>4</xdr:col>
      <xdr:colOff>323850</xdr:colOff>
      <xdr:row>26</xdr:row>
      <xdr:rowOff>76200</xdr:rowOff>
    </xdr:from>
    <xdr:to>
      <xdr:col>15</xdr:col>
      <xdr:colOff>221850</xdr:colOff>
      <xdr:row>47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2D0AA1A9-C09D-4358-8CDA-612AC173BB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</xdr:col>
      <xdr:colOff>676275</xdr:colOff>
      <xdr:row>48</xdr:row>
      <xdr:rowOff>142875</xdr:rowOff>
    </xdr:from>
    <xdr:to>
      <xdr:col>15</xdr:col>
      <xdr:colOff>574275</xdr:colOff>
      <xdr:row>70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0CA1A234-86E2-4344-BC5A-C363FE8C9B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4:$D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358140</xdr:colOff>
      <xdr:row>2</xdr:row>
      <xdr:rowOff>129821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DF29363-4220-4852-9E6A-964C982430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2140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</xdr:row>
      <xdr:rowOff>57150</xdr:rowOff>
    </xdr:from>
    <xdr:to>
      <xdr:col>1</xdr:col>
      <xdr:colOff>0</xdr:colOff>
      <xdr:row>5</xdr:row>
      <xdr:rowOff>364172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17097E51-DC17-4338-A865-A2E32DFF2E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628650"/>
          <a:ext cx="762000" cy="67849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27:$D$27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Santa Cruz de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Viajeros entr evol anual TF cat'!$B$50:$D$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Evolución de viajeros entrados en los hoteles de 4, 5 estrellas de Santa Cruz de Tenerife</a:t>
          </a:fld>
          <a:endParaRPr lang="es-ES" sz="1100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0</xdr:col>
      <xdr:colOff>762000</xdr:colOff>
      <xdr:row>2</xdr:row>
      <xdr:rowOff>361950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71EF445-DA41-4CB3-A92A-6F73ED22655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D42EAD1-8AD7-47B8-BCC1-BECC6D87CA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B4723E6-0ED5-4A94-9E79-C97B3F58D6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1018C75-03D0-45F2-B465-08077B17CF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396875</xdr:colOff>
      <xdr:row>2</xdr:row>
      <xdr:rowOff>95250</xdr:rowOff>
    </xdr:from>
    <xdr:to>
      <xdr:col>36</xdr:col>
      <xdr:colOff>590550</xdr:colOff>
      <xdr:row>26</xdr:row>
      <xdr:rowOff>133350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B70E4777-C5D9-4FBC-BCAF-81E514997B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0.94907</cdr:x>
      <cdr:y>0.0919</cdr:y>
    </cdr:to>
    <cdr:sp macro="" textlink="'viaj entrados lugar resid años '!$N$3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50902" y="53158"/>
          <a:ext cx="9534423" cy="4589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893662F-1A51-4D1E-BD6E-6B892393596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</xdr:row>
      <xdr:rowOff>0</xdr:rowOff>
    </xdr:from>
    <xdr:to>
      <xdr:col>0</xdr:col>
      <xdr:colOff>762000</xdr:colOff>
      <xdr:row>5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6103B5F-DA04-42F8-94A8-E9DD1BD4031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620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514350</xdr:colOff>
      <xdr:row>3</xdr:row>
      <xdr:rowOff>38100</xdr:rowOff>
    </xdr:from>
    <xdr:to>
      <xdr:col>31</xdr:col>
      <xdr:colOff>186690</xdr:colOff>
      <xdr:row>26</xdr:row>
      <xdr:rowOff>15240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3FB6EC93-2631-434E-97D7-D33487CB0D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6B89FB29-4432-41C8-B1FF-02A1F7D079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cia'!$M$6:$T$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6B25C01-D8B5-45F5-AEF0-E4EBE0EDCB7F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49DDFF-F472-4364-8B3D-310858CB8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C676131-AC2B-431D-BD10-3451A1C791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25</xdr:col>
      <xdr:colOff>133350</xdr:colOff>
      <xdr:row>3</xdr:row>
      <xdr:rowOff>285750</xdr:rowOff>
    </xdr:from>
    <xdr:to>
      <xdr:col>37</xdr:col>
      <xdr:colOff>567690</xdr:colOff>
      <xdr:row>27</xdr:row>
      <xdr:rowOff>72390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9020B83-49E2-4E24-888C-626832AE36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acu'!$P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EFFE7E6-F5DE-40AF-8A54-7971A59082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60E0DE79-61CA-4FCD-A79F-2F1041065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23</xdr:col>
      <xdr:colOff>561975</xdr:colOff>
      <xdr:row>3</xdr:row>
      <xdr:rowOff>257175</xdr:rowOff>
    </xdr:from>
    <xdr:to>
      <xdr:col>36</xdr:col>
      <xdr:colOff>434340</xdr:colOff>
      <xdr:row>27</xdr:row>
      <xdr:rowOff>43815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8B82EDC5-C0C0-4ADB-8B67-59523808FF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638175</xdr:colOff>
      <xdr:row>1</xdr:row>
      <xdr:rowOff>180975</xdr:rowOff>
    </xdr:from>
    <xdr:to>
      <xdr:col>11</xdr:col>
      <xdr:colOff>28575</xdr:colOff>
      <xdr:row>24</xdr:row>
      <xdr:rowOff>171450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E6CBA33-E14B-4B03-B85A-CF41E84935B5}"/>
            </a:ext>
          </a:extLst>
        </xdr:cNvPr>
        <xdr:cNvGrpSpPr/>
      </xdr:nvGrpSpPr>
      <xdr:grpSpPr>
        <a:xfrm>
          <a:off x="638175" y="3714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0794FC5B-BC20-0362-E53D-EEEF141226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57F81352-4204-3D01-83E9-4BB7352FE7D5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marL="0" indent="0" algn="ctr" rtl="0">
              <a:defRPr sz="1000"/>
            </a:pPr>
            <a:r>
              <a:rPr lang="es-ES" sz="48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Estimación oferta hoteles y apartamentos en funcionamiento</a:t>
            </a:r>
          </a:p>
        </xdr:txBody>
      </xdr:sp>
    </xdr:grpSp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0768"/>
          <a:ext cx="8033258" cy="1998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entrados lugar residen hot'!$N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80BF2DB-21EF-4E40-A211-5A420E4ABD32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entrados en los hoteles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C959EE9-14D8-4831-BEDA-C3882C3829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3197D825-9637-404B-9115-7F45067DE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9525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42F5EE4-0C56-41B6-B805-1942C236E9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858520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F1072C7-2DCC-4B04-BDEF-0AAB874EEE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6745" cy="51463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8774A47-2F52-4B03-AB67-50FE489528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7089D64-AA27-4831-A12C-8C864DCC9D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695325</xdr:colOff>
      <xdr:row>2</xdr:row>
      <xdr:rowOff>28575</xdr:rowOff>
    </xdr:from>
    <xdr:to>
      <xdr:col>11</xdr:col>
      <xdr:colOff>85725</xdr:colOff>
      <xdr:row>25</xdr:row>
      <xdr:rowOff>19050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A6FAE5BB-1BF9-49F5-BF50-F0C1E5B4786E}"/>
            </a:ext>
          </a:extLst>
        </xdr:cNvPr>
        <xdr:cNvGrpSpPr/>
      </xdr:nvGrpSpPr>
      <xdr:grpSpPr>
        <a:xfrm>
          <a:off x="695325" y="40957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44D09861-B532-4372-6849-AEFF8F5383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89D6AEE-D228-3520-5DE2-0A0F75E3F7BB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alojados en hoteles y apartamentos</a:t>
            </a:r>
          </a:p>
        </xdr:txBody>
      </xdr:sp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438150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5EE8DC0-10F9-486A-BF9C-91ED83B417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853440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9D50C84C-3195-4D01-8EC5-2839196608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1665" cy="514631"/>
        </a:xfrm>
        <a:prstGeom prst="rect">
          <a:avLst/>
        </a:prstGeom>
      </xdr:spPr>
    </xdr:pic>
    <xdr:clientData/>
  </xdr:twoCellAnchor>
  <xdr:twoCellAnchor editAs="oneCell">
    <xdr:from>
      <xdr:col>18</xdr:col>
      <xdr:colOff>695325</xdr:colOff>
      <xdr:row>2</xdr:row>
      <xdr:rowOff>38100</xdr:rowOff>
    </xdr:from>
    <xdr:to>
      <xdr:col>31</xdr:col>
      <xdr:colOff>367665</xdr:colOff>
      <xdr:row>25</xdr:row>
      <xdr:rowOff>15240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E992B412-7D75-4771-8163-C7F3090BC3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 lugar residen mes'!$K$5:$R$5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CE42E48-A969-4C58-9403-3DC7E77104E1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298DBE3-DEF9-467E-877C-B4283EFFE7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D61A7EE-41C3-4408-BD03-D1BA46F985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  <xdr:twoCellAnchor editAs="oneCell">
    <xdr:from>
      <xdr:col>24</xdr:col>
      <xdr:colOff>190499</xdr:colOff>
      <xdr:row>1</xdr:row>
      <xdr:rowOff>28575</xdr:rowOff>
    </xdr:from>
    <xdr:to>
      <xdr:col>37</xdr:col>
      <xdr:colOff>28575</xdr:colOff>
      <xdr:row>24</xdr:row>
      <xdr:rowOff>5715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4BE82BC-77A9-40FF-98D3-A70B6E6C6A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0.00504</cdr:x>
      <cdr:y>0.00954</cdr:y>
    </cdr:from>
    <cdr:to>
      <cdr:x>1</cdr:x>
      <cdr:y>0.0919</cdr:y>
    </cdr:to>
    <cdr:sp macro="" textlink="'viaj alojados lugar residen acu'!$O$4:$X$4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61AC79D-492E-4E44-904A-C25A6874EB05}"/>
            </a:ext>
          </a:extLst>
        </cdr:cNvPr>
        <cdr:cNvSpPr txBox="1"/>
      </cdr:nvSpPr>
      <cdr:spPr>
        <a:xfrm xmlns:a="http://schemas.openxmlformats.org/drawingml/2006/main">
          <a:off x="48275" y="50759"/>
          <a:ext cx="9530065" cy="4382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187FA05-E7EC-492D-8F75-A46E8AF659B7}" type="TxLink">
            <a:rPr lang="en-US" sz="1600" b="1" i="0" u="none" strike="noStrike">
              <a:solidFill>
                <a:srgbClr val="7B8279"/>
              </a:solidFill>
              <a:effectLst/>
              <a:latin typeface="Calibri"/>
              <a:ea typeface="Calibri"/>
              <a:cs typeface="Calibri"/>
            </a:rPr>
            <a:pPr/>
            <a:t>Viajeros alojados en los establecimientos alojativos de Santa Cruz de Tenerife según lugar de residencia (hotel + apartamento)</a:t>
          </a:fld>
          <a:endParaRPr lang="es-ES" sz="3600">
            <a:solidFill>
              <a:schemeClr val="tx1">
                <a:lumMod val="65000"/>
                <a:lumOff val="3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38100</xdr:colOff>
      <xdr:row>2</xdr:row>
      <xdr:rowOff>57150</xdr:rowOff>
    </xdr:from>
    <xdr:to>
      <xdr:col>11</xdr:col>
      <xdr:colOff>190500</xdr:colOff>
      <xdr:row>25</xdr:row>
      <xdr:rowOff>47625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47AE7099-ABFE-4E2A-A4A1-6456A3DAA9EC}"/>
            </a:ext>
          </a:extLst>
        </xdr:cNvPr>
        <xdr:cNvGrpSpPr/>
      </xdr:nvGrpSpPr>
      <xdr:grpSpPr>
        <a:xfrm>
          <a:off x="800100" y="43815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B8C2F535-E690-67F6-91CE-183B64943FC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180D6B85-C98A-6CFF-F692-F8B3FF9A575A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765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Pernoctaciones en hoteles y apartamentos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D3CD388-595D-4D76-84B9-08E842C03B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C78AE82-A8A4-44D3-8145-D0187315EA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A59BC69-98FF-4E90-9B87-8D269070D1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FD5EB05-0A5B-4EFC-92D0-4FD2FD6005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849630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3D9DCE7-A12D-4B01-A588-E4B136CC05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390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102870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9B3CE2C8-EC2D-4642-9A9E-C0E292ED1A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4045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68755F6-FD50-499B-800F-2419EAF9D0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0DBEE16-54AF-4ADC-B759-C40FE64D72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14F4824E-FF11-4D6C-8718-902BA42D26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79D2CD0-7F54-41E5-9F53-7F1944910B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ED7E25BD-34BF-4331-B5A5-369876095A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38100</xdr:colOff>
      <xdr:row>135</xdr:row>
      <xdr:rowOff>0</xdr:rowOff>
    </xdr:from>
    <xdr:to>
      <xdr:col>25</xdr:col>
      <xdr:colOff>698100</xdr:colOff>
      <xdr:row>155</xdr:row>
      <xdr:rowOff>104776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C02D5C80-D3E3-4C9E-B7D4-D7E81DEC1B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38100</xdr:colOff>
      <xdr:row>156</xdr:row>
      <xdr:rowOff>171450</xdr:rowOff>
    </xdr:from>
    <xdr:to>
      <xdr:col>25</xdr:col>
      <xdr:colOff>698100</xdr:colOff>
      <xdr:row>177</xdr:row>
      <xdr:rowOff>85726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5EDCE9E9-BA29-4B97-A45F-AE8A520F60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1961D4F7-0817-4291-BE51-C48526C2A3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8CA5A9C3-5543-4D5A-A01F-07C77B943B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19050</xdr:colOff>
      <xdr:row>223</xdr:row>
      <xdr:rowOff>0</xdr:rowOff>
    </xdr:from>
    <xdr:to>
      <xdr:col>25</xdr:col>
      <xdr:colOff>679050</xdr:colOff>
      <xdr:row>243</xdr:row>
      <xdr:rowOff>66676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F117776D-5F32-4092-B55D-1740ED80E9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249</xdr:row>
      <xdr:rowOff>0</xdr:rowOff>
    </xdr:from>
    <xdr:to>
      <xdr:col>25</xdr:col>
      <xdr:colOff>660000</xdr:colOff>
      <xdr:row>269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AE582285-91C4-4A1D-983F-3F1183DC68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españoles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Península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Canarias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Total residentes en el extranjero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Reino Unido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Alemania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Francia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Bélgica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E388F2D-10E8-44BE-84B3-764F2CD257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30C9A4A-E6D0-4F0D-B8EA-22C9E9F30F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84E6DA3-0045-4CD9-B8BF-C8C06AABB7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Países Bajos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99087FA-C4E9-4D1C-A811-CCBF4BDBA11C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Dinamarca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ciones evol mensu TF'!$B$250:$N$25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2BE389B-CCFC-40C6-BAAE-B88837C1348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procedentes de Suecia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F7280A5-6F7E-4F21-B95F-92BDE1D4F9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B89F77-0081-44B6-A2D4-943C1ACAFC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1C9FE78-9D8F-4A08-B7A2-83FF69D2A2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351BF70B-9D46-489F-9868-3B9F83A21C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47C9B64-DFCD-471C-89CC-3819270CF1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0FA3099B-4BB7-46C7-A0E2-C135061F46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Santa Cruz de Tenerife</a:t>
          </a:fld>
          <a:endParaRPr lang="es-ES" sz="1100"/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4 y 5 estrellas de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Pernocta evol mensu TF cat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Pernoctaciones realizadas por los turistas en los hoteles de 1, 2, 3 estrellas de Santa Cruz de Tenerife</a:t>
          </a:fld>
          <a:endParaRPr lang="es-ES" sz="1100"/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19EDE88-CD44-467B-8CDC-FC0923D652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8049E04-0BE9-4B2F-95C2-0A34CE097F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5715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C908F50-0F51-4D6A-BED0-83FA320E7E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83E70C-C028-4778-AAE7-320B0B4BF7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1</xdr:row>
      <xdr:rowOff>161925</xdr:rowOff>
    </xdr:from>
    <xdr:to>
      <xdr:col>11</xdr:col>
      <xdr:colOff>180975</xdr:colOff>
      <xdr:row>24</xdr:row>
      <xdr:rowOff>152400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E473C6E0-2F1A-46E3-B3FD-BC37403D81B8}"/>
            </a:ext>
          </a:extLst>
        </xdr:cNvPr>
        <xdr:cNvGrpSpPr/>
      </xdr:nvGrpSpPr>
      <xdr:grpSpPr>
        <a:xfrm>
          <a:off x="790575" y="3524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EF2B0220-F8CE-0A5D-5792-97A120553E1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35967FC8-E4C5-AA9D-C1F7-31471548649C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575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Viajeros entrados en hoteles y apartamentos</a:t>
            </a:r>
          </a:p>
        </xdr:txBody>
      </xdr:sp>
    </xdr:grp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5</xdr:row>
      <xdr:rowOff>15240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7744DA3-74E8-43C8-81F0-3DE56A0C86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815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854710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4220EE41-7B3B-4036-8BCC-49826111F8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2935" cy="510821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</xdr:row>
      <xdr:rowOff>0</xdr:rowOff>
    </xdr:from>
    <xdr:to>
      <xdr:col>11</xdr:col>
      <xdr:colOff>161925</xdr:colOff>
      <xdr:row>25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7269FCEB-ED8C-4E61-90E4-DA37B143D40A}"/>
            </a:ext>
          </a:extLst>
        </xdr:cNvPr>
        <xdr:cNvGrpSpPr/>
      </xdr:nvGrpSpPr>
      <xdr:grpSpPr>
        <a:xfrm>
          <a:off x="771525" y="5715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D7FC381E-3C9E-7843-E515-6801141B42D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C6EC8283-CA32-FF8E-79E7-C6DBFD13E51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Estancia media en hoteles y apartamentos</a:t>
            </a:r>
          </a:p>
        </xdr:txBody>
      </xdr:sp>
    </xdr:grp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11CAE5A-1D7B-4046-B07F-57FD4495C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7C8F74-482E-4F77-920B-98F4066DFD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EA138EC-2B43-439E-8E38-6CE303E05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E29FB41-5BC8-4DC0-8416-9AFF963638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26</xdr:col>
      <xdr:colOff>9525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C4416CF-EF00-4EB8-A6EB-FADB2DBB52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3956BF70-0DA7-49F2-91D6-0195C0D9FB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972590B2-14C9-4676-928F-DC134486F3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4EB6678E-6C64-4E1A-8430-6801F215C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285749</xdr:colOff>
      <xdr:row>134</xdr:row>
      <xdr:rowOff>66676</xdr:rowOff>
    </xdr:from>
    <xdr:to>
      <xdr:col>26</xdr:col>
      <xdr:colOff>28575</xdr:colOff>
      <xdr:row>154</xdr:row>
      <xdr:rowOff>9526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68942418-8121-4E80-B27C-CC7DA10B71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AAD4D059-8B67-4E9A-8881-D5B7E6AD45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0AF1327B-6FDE-45EC-8563-2A86CD99A5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D8D0A50A-1BA8-4862-974F-D246DA029A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B08F6F82-94E6-4C75-A2BB-2644BD8691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2C8C9E58-5C2A-40E7-AEE8-4A44AC5A1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A4A3F09D-390D-4A82-849D-BE61740E53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EM evol menusual lugar resd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0.99276</cdr:x>
      <cdr:y>0.1721</cdr:y>
    </cdr:to>
    <cdr:sp macro="" textlink="'EM evol menusual lugar resd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00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españoles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0.99736</cdr:x>
      <cdr:y>0.1721</cdr:y>
    </cdr:to>
    <cdr:sp macro="" textlink="'EM evol menusual lugar resd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5817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peninsulares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canarios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92:$N$9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F9576AC-CD66-4AF4-9D7A-6723A4F689D7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extranjeros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0.99046</cdr:x>
      <cdr:y>0.1721</cdr:y>
    </cdr:to>
    <cdr:sp macro="" textlink="'EM evol menusual lugar resd'!$B$114:$N$11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01024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6ED3218-5B10-4EC9-977D-8A66ABDC718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británicos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0.00108</cdr:x>
      <cdr:y>0.96197</cdr:y>
    </cdr:from>
    <cdr:to>
      <cdr:x>0.51654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9525" y="4315662"/>
          <a:ext cx="4565049" cy="1706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0.9957</cdr:x>
      <cdr:y>0.14865</cdr:y>
    </cdr:to>
    <cdr:sp macro="" textlink="'EM evol menusual lugar resd'!$B$136:$N$13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6536"/>
          <a:ext cx="7729496" cy="6121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4CF804C-98B5-4600-8BB0-DA6FB75388B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alemanes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428624</xdr:colOff>
      <xdr:row>2</xdr:row>
      <xdr:rowOff>114299</xdr:rowOff>
    </xdr:from>
    <xdr:to>
      <xdr:col>25</xdr:col>
      <xdr:colOff>326624</xdr:colOff>
      <xdr:row>23</xdr:row>
      <xdr:rowOff>28575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A1E15FA1-D3EF-45D9-A6A3-C7D75EFB4E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857250</xdr:colOff>
      <xdr:row>4</xdr:row>
      <xdr:rowOff>91440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D6016D9-77F4-4906-9E5C-4D1E74C913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71525" cy="662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129821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3C33609-8359-44F6-8F5C-0D3D93DAAD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323850</xdr:colOff>
      <xdr:row>25</xdr:row>
      <xdr:rowOff>76200</xdr:rowOff>
    </xdr:from>
    <xdr:to>
      <xdr:col>25</xdr:col>
      <xdr:colOff>221850</xdr:colOff>
      <xdr:row>45</xdr:row>
      <xdr:rowOff>180976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52DF38F-770E-4DBF-9DA1-30404B7C38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EB98A55-70DB-4BC8-B11E-FE3AE63BDB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53199A1-AECF-434D-AFFF-DAA7A60F53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15</xdr:col>
      <xdr:colOff>57150</xdr:colOff>
      <xdr:row>90</xdr:row>
      <xdr:rowOff>76200</xdr:rowOff>
    </xdr:from>
    <xdr:to>
      <xdr:col>25</xdr:col>
      <xdr:colOff>717150</xdr:colOff>
      <xdr:row>110</xdr:row>
      <xdr:rowOff>180976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8DFD375-8AE8-48F1-9877-38B8D5C2DB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15</xdr:col>
      <xdr:colOff>76200</xdr:colOff>
      <xdr:row>112</xdr:row>
      <xdr:rowOff>180975</xdr:rowOff>
    </xdr:from>
    <xdr:to>
      <xdr:col>25</xdr:col>
      <xdr:colOff>736200</xdr:colOff>
      <xdr:row>133</xdr:row>
      <xdr:rowOff>95251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D8FC80B8-6AC9-4303-8A9F-EF7135108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15</xdr:col>
      <xdr:colOff>619124</xdr:colOff>
      <xdr:row>134</xdr:row>
      <xdr:rowOff>95251</xdr:rowOff>
    </xdr:from>
    <xdr:to>
      <xdr:col>26</xdr:col>
      <xdr:colOff>0</xdr:colOff>
      <xdr:row>154</xdr:row>
      <xdr:rowOff>38101</xdr:rowOff>
    </xdr:to>
    <xdr:graphicFrame macro="">
      <xdr:nvGraphicFramePr>
        <xdr:cNvPr id="10" name="Gráfico 40">
          <a:extLst>
            <a:ext uri="{FF2B5EF4-FFF2-40B4-BE49-F238E27FC236}">
              <a16:creationId xmlns:a16="http://schemas.microsoft.com/office/drawing/2014/main" id="{076BB5CD-4901-4866-84B0-37D971112F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15</xdr:col>
      <xdr:colOff>0</xdr:colOff>
      <xdr:row>157</xdr:row>
      <xdr:rowOff>323850</xdr:rowOff>
    </xdr:from>
    <xdr:to>
      <xdr:col>25</xdr:col>
      <xdr:colOff>664762</xdr:colOff>
      <xdr:row>179</xdr:row>
      <xdr:rowOff>57151</xdr:rowOff>
    </xdr:to>
    <xdr:graphicFrame macro="">
      <xdr:nvGraphicFramePr>
        <xdr:cNvPr id="11" name="Gráfico 41">
          <a:extLst>
            <a:ext uri="{FF2B5EF4-FFF2-40B4-BE49-F238E27FC236}">
              <a16:creationId xmlns:a16="http://schemas.microsoft.com/office/drawing/2014/main" id="{C34FE4CF-BEA9-486A-93B6-30F642E56D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14</xdr:col>
      <xdr:colOff>752475</xdr:colOff>
      <xdr:row>179</xdr:row>
      <xdr:rowOff>104775</xdr:rowOff>
    </xdr:from>
    <xdr:to>
      <xdr:col>25</xdr:col>
      <xdr:colOff>650475</xdr:colOff>
      <xdr:row>200</xdr:row>
      <xdr:rowOff>19051</xdr:rowOff>
    </xdr:to>
    <xdr:graphicFrame macro="">
      <xdr:nvGraphicFramePr>
        <xdr:cNvPr id="12" name="Gráfico 43">
          <a:extLst>
            <a:ext uri="{FF2B5EF4-FFF2-40B4-BE49-F238E27FC236}">
              <a16:creationId xmlns:a16="http://schemas.microsoft.com/office/drawing/2014/main" id="{A0FEBFC3-D869-4640-ADED-E83F7144BC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14</xdr:col>
      <xdr:colOff>609600</xdr:colOff>
      <xdr:row>201</xdr:row>
      <xdr:rowOff>0</xdr:rowOff>
    </xdr:from>
    <xdr:to>
      <xdr:col>25</xdr:col>
      <xdr:colOff>507600</xdr:colOff>
      <xdr:row>221</xdr:row>
      <xdr:rowOff>104776</xdr:rowOff>
    </xdr:to>
    <xdr:graphicFrame macro="">
      <xdr:nvGraphicFramePr>
        <xdr:cNvPr id="13" name="Gráfico 12">
          <a:extLst>
            <a:ext uri="{FF2B5EF4-FFF2-40B4-BE49-F238E27FC236}">
              <a16:creationId xmlns:a16="http://schemas.microsoft.com/office/drawing/2014/main" id="{C3B29E04-7BD9-45FE-B62A-45809C9FE9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15</xdr:col>
      <xdr:colOff>0</xdr:colOff>
      <xdr:row>223</xdr:row>
      <xdr:rowOff>0</xdr:rowOff>
    </xdr:from>
    <xdr:to>
      <xdr:col>25</xdr:col>
      <xdr:colOff>660000</xdr:colOff>
      <xdr:row>243</xdr:row>
      <xdr:rowOff>104776</xdr:rowOff>
    </xdr:to>
    <xdr:graphicFrame macro="">
      <xdr:nvGraphicFramePr>
        <xdr:cNvPr id="14" name="Gráfico 13">
          <a:extLst>
            <a:ext uri="{FF2B5EF4-FFF2-40B4-BE49-F238E27FC236}">
              <a16:creationId xmlns:a16="http://schemas.microsoft.com/office/drawing/2014/main" id="{D8F22406-13C9-44BB-9873-7E1960CE89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15</xdr:col>
      <xdr:colOff>0</xdr:colOff>
      <xdr:row>245</xdr:row>
      <xdr:rowOff>0</xdr:rowOff>
    </xdr:from>
    <xdr:to>
      <xdr:col>25</xdr:col>
      <xdr:colOff>660000</xdr:colOff>
      <xdr:row>265</xdr:row>
      <xdr:rowOff>104776</xdr:rowOff>
    </xdr:to>
    <xdr:graphicFrame macro="">
      <xdr:nvGraphicFramePr>
        <xdr:cNvPr id="15" name="Gráfico 14">
          <a:extLst>
            <a:ext uri="{FF2B5EF4-FFF2-40B4-BE49-F238E27FC236}">
              <a16:creationId xmlns:a16="http://schemas.microsoft.com/office/drawing/2014/main" id="{603FEFC1-83AA-44C0-9BD0-C9F2D0402C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15</xdr:col>
      <xdr:colOff>0</xdr:colOff>
      <xdr:row>267</xdr:row>
      <xdr:rowOff>0</xdr:rowOff>
    </xdr:from>
    <xdr:to>
      <xdr:col>25</xdr:col>
      <xdr:colOff>660000</xdr:colOff>
      <xdr:row>287</xdr:row>
      <xdr:rowOff>104776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F4BAE0E7-FFBE-49F4-BAE0-E9562BA228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58:$N$15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08BB515-8B29-48C5-AF78-38E1E42120A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franceses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180:$N$18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4E311B4-E254-490A-B2D1-DB87BC6D349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0.99391</cdr:x>
      <cdr:y>0.1721</cdr:y>
    </cdr:to>
    <cdr:sp macro="" textlink="'EM evol menusual lugar resd'!$B$202:$N$202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7169"/>
          <a:ext cx="8229600" cy="7385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2D9C39B-0038-4808-B660-1FFFBD54799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holandeses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24:$N$22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F6DB970-8AF5-4ACF-8E05-A57BF76B1B5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belgas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46:$N$24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2BDA80-C0F4-4A01-9A5D-806E76A2736B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daneses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usual lugar resd'!$B$268:$N$26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EDF55F-EC40-4CCB-8271-796B623DE44D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de los viajeros suecos entrados en los establecimientos alojativos de Santa Cruz de Tenerife (hotel + apartamento)</a:t>
          </a:fld>
          <a:endParaRPr lang="es-ES" sz="1100"/>
        </a:p>
      </cdr:txBody>
    </cdr:sp>
  </cdr:relSizeAnchor>
</c:userShapes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409574</xdr:colOff>
      <xdr:row>2</xdr:row>
      <xdr:rowOff>142874</xdr:rowOff>
    </xdr:from>
    <xdr:to>
      <xdr:col>25</xdr:col>
      <xdr:colOff>307574</xdr:colOff>
      <xdr:row>23</xdr:row>
      <xdr:rowOff>57150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D8E681BA-86FA-4BDD-9D38-B70CC8220E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47625</xdr:rowOff>
    </xdr:from>
    <xdr:to>
      <xdr:col>0</xdr:col>
      <xdr:colOff>853440</xdr:colOff>
      <xdr:row>4</xdr:row>
      <xdr:rowOff>95250</xdr:rowOff>
    </xdr:to>
    <xdr:pic>
      <xdr:nvPicPr>
        <xdr:cNvPr id="3" name="Imagen 2" descr="Iconos Png Gratis Resume Volver Icono Descarga Gratuita - Pump ...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E81B433-E1CE-41F8-A086-7BB721584A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19125"/>
          <a:ext cx="767715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93345</xdr:colOff>
      <xdr:row>2</xdr:row>
      <xdr:rowOff>133631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B0EF623A-C58B-4E2B-98B5-8B5F121FD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4520" cy="514631"/>
        </a:xfrm>
        <a:prstGeom prst="rect">
          <a:avLst/>
        </a:prstGeom>
      </xdr:spPr>
    </xdr:pic>
    <xdr:clientData/>
  </xdr:twoCellAnchor>
  <xdr:twoCellAnchor>
    <xdr:from>
      <xdr:col>14</xdr:col>
      <xdr:colOff>342900</xdr:colOff>
      <xdr:row>25</xdr:row>
      <xdr:rowOff>114300</xdr:rowOff>
    </xdr:from>
    <xdr:to>
      <xdr:col>25</xdr:col>
      <xdr:colOff>240900</xdr:colOff>
      <xdr:row>46</xdr:row>
      <xdr:rowOff>28576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79682F3-3672-417A-9E00-853DA256E6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14</xdr:col>
      <xdr:colOff>676275</xdr:colOff>
      <xdr:row>46</xdr:row>
      <xdr:rowOff>142875</xdr:rowOff>
    </xdr:from>
    <xdr:to>
      <xdr:col>25</xdr:col>
      <xdr:colOff>574275</xdr:colOff>
      <xdr:row>67</xdr:row>
      <xdr:rowOff>57151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8CD1CBB8-A3E0-41F3-B29C-F95A04CA42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15</xdr:col>
      <xdr:colOff>0</xdr:colOff>
      <xdr:row>69</xdr:row>
      <xdr:rowOff>0</xdr:rowOff>
    </xdr:from>
    <xdr:to>
      <xdr:col>25</xdr:col>
      <xdr:colOff>660000</xdr:colOff>
      <xdr:row>89</xdr:row>
      <xdr:rowOff>104776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745D77DF-84CA-4EC3-B274-E2D20187F2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0.95879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210050"/>
          <a:ext cx="4268009" cy="180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6534CD3-0E35-499D-900B-14E52B15F8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Santa Cruz de Tenerife</a:t>
          </a:fld>
          <a:endParaRPr lang="es-ES" sz="1100"/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84419-F83A-4677-BE35-1CEB722A3034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4, 5 estrellas de Santa Cruz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0.01304</cdr:x>
      <cdr:y>0.91106</cdr:y>
    </cdr:from>
    <cdr:to>
      <cdr:x>0.5285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3D3C7B1-03F3-939E-B177-216861D69B8A}"/>
            </a:ext>
          </a:extLst>
        </cdr:cNvPr>
        <cdr:cNvSpPr txBox="1"/>
      </cdr:nvSpPr>
      <cdr:spPr>
        <a:xfrm xmlns:a="http://schemas.openxmlformats.org/drawingml/2006/main">
          <a:off x="107950" y="4000501"/>
          <a:ext cx="4268009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* en el año 2022 no se publicó la desagregación por categorías en las Islas</a:t>
          </a:r>
        </a:p>
      </cdr:txBody>
    </cdr:sp>
  </cdr:relSizeAnchor>
</c:userShapes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0.00373</cdr:x>
      <cdr:y>0.00391</cdr:y>
    </cdr:from>
    <cdr:to>
      <cdr:x>0.97796</cdr:x>
      <cdr:y>0.1721</cdr:y>
    </cdr:to>
    <cdr:sp macro="" textlink="'Viajeros entr evol mensu TF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2657" y="16690"/>
          <a:ext cx="8533252" cy="71793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0C01995-918E-4030-8C15-D1CA634D245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Viajeros  entrados en los establecimientos alojativos de Santa Cruz de Tenerife 
(hotel + apartamento)</a:t>
          </a:fld>
          <a:endParaRPr lang="es-ES" sz="1100"/>
        </a:p>
      </cdr:txBody>
    </cdr:sp>
  </cdr:relSizeAnchor>
</c:userShapes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EM evol mensu TF cat '!$B$70:$N$70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9BBB21-4CAE-40D4-95AF-C9648D5980DA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Estancia Media en los hoteles de 1, 2, 3 Estrellas de Santa Cruz de Tenerife</a:t>
          </a:fld>
          <a:endParaRPr lang="es-ES" sz="1100"/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457200</xdr:colOff>
      <xdr:row>1</xdr:row>
      <xdr:rowOff>123825</xdr:rowOff>
    </xdr:from>
    <xdr:to>
      <xdr:col>10</xdr:col>
      <xdr:colOff>609600</xdr:colOff>
      <xdr:row>24</xdr:row>
      <xdr:rowOff>114300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CCEA380-105C-4C4F-88F1-DE5EED9F6BB1}"/>
            </a:ext>
          </a:extLst>
        </xdr:cNvPr>
        <xdr:cNvGrpSpPr/>
      </xdr:nvGrpSpPr>
      <xdr:grpSpPr>
        <a:xfrm>
          <a:off x="457200" y="314325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1AD477BB-3169-3FCC-7A4D-5FFB00267EB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87545D39-F1F1-D269-5F4A-D36B288F4537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838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Tasa de ocupación por plaza en hoteles y apartamentos</a:t>
            </a:r>
          </a:p>
        </xdr:txBody>
      </xdr:sp>
    </xdr:grp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704849</xdr:colOff>
      <xdr:row>3</xdr:row>
      <xdr:rowOff>104774</xdr:rowOff>
    </xdr:from>
    <xdr:to>
      <xdr:col>25</xdr:col>
      <xdr:colOff>621899</xdr:colOff>
      <xdr:row>22</xdr:row>
      <xdr:rowOff>167099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604902FC-004C-4ED3-B9AD-B72AE05251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228599</xdr:colOff>
      <xdr:row>69</xdr:row>
      <xdr:rowOff>419099</xdr:rowOff>
    </xdr:from>
    <xdr:to>
      <xdr:col>26</xdr:col>
      <xdr:colOff>126599</xdr:colOff>
      <xdr:row>90</xdr:row>
      <xdr:rowOff>100424</xdr:rowOff>
    </xdr:to>
    <xdr:graphicFrame macro="">
      <xdr:nvGraphicFramePr>
        <xdr:cNvPr id="4" name="Gráfico 11">
          <a:extLst>
            <a:ext uri="{FF2B5EF4-FFF2-40B4-BE49-F238E27FC236}">
              <a16:creationId xmlns:a16="http://schemas.microsoft.com/office/drawing/2014/main" id="{E98B7840-0943-40FF-93D4-52E6E9189C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85725</xdr:colOff>
      <xdr:row>3</xdr:row>
      <xdr:rowOff>19050</xdr:rowOff>
    </xdr:from>
    <xdr:to>
      <xdr:col>0</xdr:col>
      <xdr:colOff>857250</xdr:colOff>
      <xdr:row>4</xdr:row>
      <xdr:rowOff>59055</xdr:rowOff>
    </xdr:to>
    <xdr:pic>
      <xdr:nvPicPr>
        <xdr:cNvPr id="5" name="Imagen 4" descr="Iconos Png Gratis Resume Volver Icono Descarga Gratuita - Pump ...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156AC159-0734-4239-B881-1D3BE2A4E6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685800"/>
          <a:ext cx="771525" cy="6591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97155</xdr:colOff>
      <xdr:row>2</xdr:row>
      <xdr:rowOff>34571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85362435-43B5-4343-9B9C-411D2D569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78330" cy="510821"/>
        </a:xfrm>
        <a:prstGeom prst="rect">
          <a:avLst/>
        </a:prstGeom>
      </xdr:spPr>
    </xdr:pic>
    <xdr:clientData/>
  </xdr:twoCellAnchor>
  <xdr:twoCellAnchor>
    <xdr:from>
      <xdr:col>14</xdr:col>
      <xdr:colOff>904875</xdr:colOff>
      <xdr:row>24</xdr:row>
      <xdr:rowOff>180975</xdr:rowOff>
    </xdr:from>
    <xdr:to>
      <xdr:col>26</xdr:col>
      <xdr:colOff>59925</xdr:colOff>
      <xdr:row>46</xdr:row>
      <xdr:rowOff>14700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AF26F1B-8818-4A54-8A0A-FEBF927323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14</xdr:col>
      <xdr:colOff>838200</xdr:colOff>
      <xdr:row>47</xdr:row>
      <xdr:rowOff>114300</xdr:rowOff>
    </xdr:from>
    <xdr:to>
      <xdr:col>25</xdr:col>
      <xdr:colOff>755250</xdr:colOff>
      <xdr:row>68</xdr:row>
      <xdr:rowOff>138525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CE24283E-C499-4533-BE41-24EDF52EE4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0.00447</cdr:x>
      <cdr:y>0.00849</cdr:y>
    </cdr:from>
    <cdr:to>
      <cdr:x>0.9787</cdr:x>
      <cdr:y>0.17668</cdr:y>
    </cdr:to>
    <cdr:sp macro="" textlink="'tasa de ocupación evol mens'!$B$4:$N$4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38100" y="35308"/>
          <a:ext cx="8307892" cy="69934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66CFC90-4DF6-4210-BB46-D250B73FFBF6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establecimientos alojativos de Santa Cruz de Tenerife
(hotel + apartamento)</a:t>
          </a:fld>
          <a:endParaRPr lang="es-ES" sz="1100"/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#REF!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5FA83AF-8EEE-4570-A963-F3AE91B89BE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Tasa de ocupación en los hoteles de 4 estrellas de Tenerife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26:$N$26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277B92F-191F-48A0-813B-24B2E6B2EF9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Santa Cruz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0.96197</cdr:y>
    </cdr:from>
    <cdr:to>
      <cdr:x>0.51546</cdr:x>
      <cdr:y>1</cdr:y>
    </cdr:to>
    <cdr:sp macro="" textlink="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3F3C333A-74BE-4B15-A334-38708C5CCB3A}"/>
            </a:ext>
          </a:extLst>
        </cdr:cNvPr>
        <cdr:cNvSpPr txBox="1"/>
      </cdr:nvSpPr>
      <cdr:spPr>
        <a:xfrm xmlns:a="http://schemas.openxmlformats.org/drawingml/2006/main">
          <a:off x="0" y="4095750"/>
          <a:ext cx="3809972" cy="1619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65000"/>
                  <a:lumOff val="35000"/>
                </a:schemeClr>
              </a:solidFill>
            </a:rPr>
            <a:t>FUENTE: Encuestas Alojamientos Turísticos (ISTAC).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0.00391</cdr:y>
    </cdr:from>
    <cdr:to>
      <cdr:x>0.97423</cdr:x>
      <cdr:y>0.1721</cdr:y>
    </cdr:to>
    <cdr:sp macro="" textlink="'tasa de ocupación evol mens'!$B$48:$N$48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94AAEC51-F9F8-42F1-82A2-DC0F2CA03A46}"/>
            </a:ext>
          </a:extLst>
        </cdr:cNvPr>
        <cdr:cNvSpPr txBox="1"/>
      </cdr:nvSpPr>
      <cdr:spPr>
        <a:xfrm xmlns:a="http://schemas.openxmlformats.org/drawingml/2006/main">
          <a:off x="0" y="14283"/>
          <a:ext cx="7200900" cy="61436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50D8823-FBC2-4B03-A811-E1EE0E7E4A13}" type="TxLink">
            <a:rPr lang="en-US" sz="1600" b="1" i="0" u="none" strike="noStrike">
              <a:solidFill>
                <a:srgbClr val="595959"/>
              </a:solidFill>
              <a:latin typeface="Calibri"/>
              <a:ea typeface="Calibri"/>
              <a:cs typeface="Calibri"/>
            </a:rPr>
            <a:pPr/>
            <a:t>Tasa de ocupación por plaza en los hoteles de 4, 5 Estrellas de Santa Cruz de Tenerife</a:t>
          </a:fld>
          <a:endParaRPr lang="es-ES" sz="1100"/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342900</xdr:colOff>
      <xdr:row>2</xdr:row>
      <xdr:rowOff>0</xdr:rowOff>
    </xdr:from>
    <xdr:to>
      <xdr:col>10</xdr:col>
      <xdr:colOff>495300</xdr:colOff>
      <xdr:row>24</xdr:row>
      <xdr:rowOff>180975</xdr:rowOff>
    </xdr:to>
    <xdr:grpSp>
      <xdr:nvGrpSpPr>
        <xdr:cNvPr id="2" name="Grupo 1">
          <a:extLst>
            <a:ext uri="{FF2B5EF4-FFF2-40B4-BE49-F238E27FC236}">
              <a16:creationId xmlns:a16="http://schemas.microsoft.com/office/drawing/2014/main" id="{DEC354E7-32B4-47E2-9BA8-EDC10A2EEF2F}"/>
            </a:ext>
          </a:extLst>
        </xdr:cNvPr>
        <xdr:cNvGrpSpPr/>
      </xdr:nvGrpSpPr>
      <xdr:grpSpPr>
        <a:xfrm>
          <a:off x="342900" y="381000"/>
          <a:ext cx="7772400" cy="4371975"/>
          <a:chOff x="9906000" y="190500"/>
          <a:chExt cx="7772400" cy="4371975"/>
        </a:xfrm>
      </xdr:grpSpPr>
      <xdr:pic>
        <xdr:nvPicPr>
          <xdr:cNvPr id="3" name="Imagen 2">
            <a:extLst>
              <a:ext uri="{FF2B5EF4-FFF2-40B4-BE49-F238E27FC236}">
                <a16:creationId xmlns:a16="http://schemas.microsoft.com/office/drawing/2014/main" id="{F1DF58A4-47F8-ACAC-5DD3-8C09BB978A5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9906000" y="190500"/>
            <a:ext cx="7772400" cy="4371975"/>
          </a:xfrm>
          <a:prstGeom prst="rect">
            <a:avLst/>
          </a:prstGeom>
        </xdr:spPr>
      </xdr:pic>
      <xdr:sp macro="" textlink="">
        <xdr:nvSpPr>
          <xdr:cNvPr id="4" name="Text Box 1">
            <a:extLst>
              <a:ext uri="{FF2B5EF4-FFF2-40B4-BE49-F238E27FC236}">
                <a16:creationId xmlns:a16="http://schemas.microsoft.com/office/drawing/2014/main" id="{FA0B1E58-EFAF-8EAB-A05E-5E128BACD168}"/>
              </a:ext>
            </a:extLst>
          </xdr:cNvPr>
          <xdr:cNvSpPr txBox="1">
            <a:spLocks noChangeArrowheads="1"/>
          </xdr:cNvSpPr>
        </xdr:nvSpPr>
        <xdr:spPr bwMode="auto">
          <a:xfrm>
            <a:off x="10439399" y="1476375"/>
            <a:ext cx="6715125" cy="2562226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27432" tIns="27432" rIns="0" bIns="0" anchor="ctr" upright="1"/>
          <a:lstStyle/>
          <a:p>
            <a:pPr algn="ctr" rtl="0">
              <a:defRPr sz="1000"/>
            </a:pPr>
            <a:r>
              <a:rPr lang="es-ES" sz="6000" b="0" i="0" u="none" strike="noStrike" baseline="0">
                <a:solidFill>
                  <a:schemeClr val="bg1"/>
                </a:solidFill>
                <a:latin typeface="Calibri"/>
                <a:ea typeface="Calibri"/>
                <a:cs typeface="Calibri"/>
              </a:rPr>
              <a:t>Indicadores de rentabilidad alojativa</a:t>
            </a:r>
          </a:p>
        </xdr:txBody>
      </xdr:sp>
    </xdr:grp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1</xdr:row>
      <xdr:rowOff>66676</xdr:rowOff>
    </xdr:from>
    <xdr:to>
      <xdr:col>0</xdr:col>
      <xdr:colOff>838200</xdr:colOff>
      <xdr:row>4</xdr:row>
      <xdr:rowOff>257176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BAD29C-5864-4386-BDCB-B7ED683A4F5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609601"/>
          <a:ext cx="76200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847725</xdr:colOff>
      <xdr:row>0</xdr:row>
      <xdr:rowOff>514631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E1C559B2-FE1B-48AC-9157-08B627F534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85950" cy="514631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0</xdr:col>
      <xdr:colOff>762000</xdr:colOff>
      <xdr:row>4</xdr:row>
      <xdr:rowOff>190500</xdr:rowOff>
    </xdr:to>
    <xdr:pic>
      <xdr:nvPicPr>
        <xdr:cNvPr id="2" name="Imagen 1" descr="Iconos Png Gratis Resume Volver Icono Descarga Gratuita - Pump ...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127FF37-37B7-4658-B916-2131657F7CA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accent6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33425"/>
          <a:ext cx="762000" cy="666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BB46BF83-BCD5-45DD-BFA9-FF7427B689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857250</xdr:colOff>
      <xdr:row>0</xdr:row>
      <xdr:rowOff>510821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A1E1324-5024-4DF5-B955-395738F86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895475" cy="5108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Office 2007-2010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Verde azulado">
    <a:dk1>
      <a:sysClr val="windowText" lastClr="000000"/>
    </a:dk1>
    <a:lt1>
      <a:sysClr val="window" lastClr="FFFFFF"/>
    </a:lt1>
    <a:dk2>
      <a:srgbClr val="373545"/>
    </a:dk2>
    <a:lt2>
      <a:srgbClr val="CEDBE6"/>
    </a:lt2>
    <a:accent1>
      <a:srgbClr val="3494BA"/>
    </a:accent1>
    <a:accent2>
      <a:srgbClr val="58B6C0"/>
    </a:accent2>
    <a:accent3>
      <a:srgbClr val="75BDA7"/>
    </a:accent3>
    <a:accent4>
      <a:srgbClr val="7A8C8E"/>
    </a:accent4>
    <a:accent5>
      <a:srgbClr val="84ACB6"/>
    </a:accent5>
    <a:accent6>
      <a:srgbClr val="2683C6"/>
    </a:accent6>
    <a:hlink>
      <a:srgbClr val="6B9F25"/>
    </a:hlink>
    <a:folHlink>
      <a:srgbClr val="9F6715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1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20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1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22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23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24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5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1.xml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7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2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8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2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31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3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34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35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36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37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38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3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F4B2C-6455-4E46-BDF6-BD258FB20A2F}">
  <dimension ref="B1:M56"/>
  <sheetViews>
    <sheetView showGridLines="0" tabSelected="1" workbookViewId="0"/>
  </sheetViews>
  <sheetFormatPr baseColWidth="10" defaultRowHeight="15" x14ac:dyDescent="0.25"/>
  <cols>
    <col min="1" max="1" width="13.7109375" customWidth="1"/>
    <col min="2" max="2" width="147.7109375" customWidth="1"/>
  </cols>
  <sheetData>
    <row r="1" spans="2:13" x14ac:dyDescent="0.25">
      <c r="B1" s="1" t="s">
        <v>0</v>
      </c>
    </row>
    <row r="2" spans="2:13" ht="36" x14ac:dyDescent="0.55000000000000004">
      <c r="B2" s="2" t="s">
        <v>1</v>
      </c>
      <c r="M2" t="e">
        <f>#REF!/#REF!</f>
        <v>#REF!</v>
      </c>
    </row>
    <row r="3" spans="2:13" ht="36" x14ac:dyDescent="0.55000000000000004">
      <c r="B3" s="2" t="s">
        <v>53</v>
      </c>
    </row>
    <row r="4" spans="2:13" ht="24" x14ac:dyDescent="0.4">
      <c r="B4" s="3" t="s">
        <v>209</v>
      </c>
    </row>
    <row r="5" spans="2:13" x14ac:dyDescent="0.25">
      <c r="B5" s="4"/>
    </row>
    <row r="6" spans="2:13" ht="21.75" thickBot="1" x14ac:dyDescent="0.4">
      <c r="B6" s="5" t="s">
        <v>2</v>
      </c>
    </row>
    <row r="7" spans="2:13" ht="15.75" thickTop="1" x14ac:dyDescent="0.25"/>
    <row r="8" spans="2:13" ht="15.75" x14ac:dyDescent="0.25">
      <c r="B8" s="6" t="s">
        <v>210</v>
      </c>
    </row>
    <row r="9" spans="2:13" ht="15.75" x14ac:dyDescent="0.25">
      <c r="B9" s="6" t="s">
        <v>3</v>
      </c>
    </row>
    <row r="10" spans="2:13" ht="15.75" x14ac:dyDescent="0.25">
      <c r="B10" s="6"/>
    </row>
    <row r="11" spans="2:13" ht="19.5" thickBot="1" x14ac:dyDescent="0.35">
      <c r="B11" s="7" t="s">
        <v>4</v>
      </c>
    </row>
    <row r="12" spans="2:13" ht="18.75" x14ac:dyDescent="0.3">
      <c r="B12" s="8"/>
    </row>
    <row r="13" spans="2:13" ht="15.75" x14ac:dyDescent="0.25">
      <c r="B13" s="6" t="s">
        <v>5</v>
      </c>
    </row>
    <row r="14" spans="2:13" ht="15.75" x14ac:dyDescent="0.25">
      <c r="B14" s="6" t="s">
        <v>6</v>
      </c>
    </row>
    <row r="15" spans="2:13" x14ac:dyDescent="0.25">
      <c r="B15" s="9"/>
    </row>
    <row r="16" spans="2:13" ht="19.5" thickBot="1" x14ac:dyDescent="0.35">
      <c r="B16" s="7" t="s">
        <v>7</v>
      </c>
    </row>
    <row r="17" spans="2:2" ht="15.75" x14ac:dyDescent="0.25">
      <c r="B17" s="6"/>
    </row>
    <row r="18" spans="2:2" ht="15.75" x14ac:dyDescent="0.25">
      <c r="B18" s="10" t="s">
        <v>8</v>
      </c>
    </row>
    <row r="19" spans="2:2" ht="15.75" x14ac:dyDescent="0.25">
      <c r="B19" s="6" t="s">
        <v>211</v>
      </c>
    </row>
    <row r="20" spans="2:2" ht="15.75" x14ac:dyDescent="0.25">
      <c r="B20" s="6" t="s">
        <v>212</v>
      </c>
    </row>
    <row r="21" spans="2:2" ht="15.75" x14ac:dyDescent="0.25">
      <c r="B21" s="6" t="s">
        <v>213</v>
      </c>
    </row>
    <row r="22" spans="2:2" ht="15.75" x14ac:dyDescent="0.25">
      <c r="B22" s="6" t="s">
        <v>9</v>
      </c>
    </row>
    <row r="23" spans="2:2" ht="15.75" x14ac:dyDescent="0.25">
      <c r="B23" s="6" t="s">
        <v>10</v>
      </c>
    </row>
    <row r="24" spans="2:2" ht="15.75" x14ac:dyDescent="0.25">
      <c r="B24" s="6" t="s">
        <v>11</v>
      </c>
    </row>
    <row r="25" spans="2:2" ht="15.75" x14ac:dyDescent="0.25">
      <c r="B25" s="6" t="s">
        <v>12</v>
      </c>
    </row>
    <row r="26" spans="2:2" ht="15.75" x14ac:dyDescent="0.25">
      <c r="B26" s="6" t="s">
        <v>13</v>
      </c>
    </row>
    <row r="27" spans="2:2" ht="15.75" x14ac:dyDescent="0.25">
      <c r="B27" s="6" t="s">
        <v>14</v>
      </c>
    </row>
    <row r="28" spans="2:2" ht="15.75" x14ac:dyDescent="0.25">
      <c r="B28" s="6" t="s">
        <v>15</v>
      </c>
    </row>
    <row r="29" spans="2:2" ht="15.75" x14ac:dyDescent="0.25">
      <c r="B29" s="6" t="s">
        <v>16</v>
      </c>
    </row>
    <row r="30" spans="2:2" ht="15.75" x14ac:dyDescent="0.25">
      <c r="B30" s="6" t="s">
        <v>17</v>
      </c>
    </row>
    <row r="31" spans="2:2" ht="15.75" x14ac:dyDescent="0.25">
      <c r="B31" s="10" t="s">
        <v>18</v>
      </c>
    </row>
    <row r="32" spans="2:2" ht="15.75" x14ac:dyDescent="0.25">
      <c r="B32" s="6" t="s">
        <v>19</v>
      </c>
    </row>
    <row r="33" spans="2:2" ht="15.75" x14ac:dyDescent="0.25">
      <c r="B33" s="6" t="s">
        <v>20</v>
      </c>
    </row>
    <row r="34" spans="2:2" ht="15.75" x14ac:dyDescent="0.25">
      <c r="B34" s="10" t="s">
        <v>21</v>
      </c>
    </row>
    <row r="35" spans="2:2" ht="15.75" x14ac:dyDescent="0.25">
      <c r="B35" s="6" t="s">
        <v>214</v>
      </c>
    </row>
    <row r="36" spans="2:2" ht="15.75" x14ac:dyDescent="0.25">
      <c r="B36" s="6" t="s">
        <v>215</v>
      </c>
    </row>
    <row r="37" spans="2:2" ht="15.75" x14ac:dyDescent="0.25">
      <c r="B37" s="6" t="str">
        <f>CONCATENATE("Pernoctaciones en los establecimientos alojativos de Tenerife según lugar de residencia y municipio de alojamiento (hotel + apartamento) - mes")</f>
        <v>Pernoctaciones en los establecimientos alojativos de Tenerife según lugar de residencia y municipio de alojamiento (hotel + apartamento) - mes</v>
      </c>
    </row>
    <row r="38" spans="2:2" ht="15.75" x14ac:dyDescent="0.25">
      <c r="B38" s="6" t="str">
        <f>CONCATENATE("Pernoctaciones en los establecimientos alojativos de Tenerife según lugar de residencia y municipio de alojamiento (hotel + apartamento) - acumulado")</f>
        <v>Pernoctaciones en los establecimientos alojativos de Tenerife según lugar de residencia y municipio de alojamiento (hotel + apartamento) - acumulado</v>
      </c>
    </row>
    <row r="39" spans="2:2" ht="15.75" x14ac:dyDescent="0.25">
      <c r="B39" s="6" t="str">
        <f>CONCATENATE("Pernoctaciones en los establecimientos alojativos de Tenerife según lugar de residencia y municipio de alojamiento (hotel + apartamento) - año")</f>
        <v>Pernoctaciones en los establecimientos alojativos de Tenerife según lugar de residencia y municipio de alojamiento (hotel + apartamento) - año</v>
      </c>
    </row>
    <row r="40" spans="2:2" ht="15.75" x14ac:dyDescent="0.25">
      <c r="B40" s="10" t="s">
        <v>22</v>
      </c>
    </row>
    <row r="41" spans="2:2" ht="15.75" x14ac:dyDescent="0.25">
      <c r="B41" s="6" t="s">
        <v>216</v>
      </c>
    </row>
    <row r="42" spans="2:2" ht="15.75" x14ac:dyDescent="0.25">
      <c r="B42" s="6" t="s">
        <v>217</v>
      </c>
    </row>
    <row r="43" spans="2:2" ht="15.75" x14ac:dyDescent="0.25">
      <c r="B43" s="10" t="s">
        <v>23</v>
      </c>
    </row>
    <row r="44" spans="2:2" ht="15.75" x14ac:dyDescent="0.25">
      <c r="B44" s="6" t="s">
        <v>218</v>
      </c>
    </row>
    <row r="45" spans="2:2" ht="15.75" x14ac:dyDescent="0.25">
      <c r="B45" s="10" t="s">
        <v>24</v>
      </c>
    </row>
    <row r="46" spans="2:2" ht="31.5" x14ac:dyDescent="0.25">
      <c r="B46" s="11" t="s">
        <v>25</v>
      </c>
    </row>
    <row r="47" spans="2:2" ht="15.75" x14ac:dyDescent="0.25">
      <c r="B47" s="11" t="s">
        <v>26</v>
      </c>
    </row>
    <row r="48" spans="2:2" ht="15.75" x14ac:dyDescent="0.25">
      <c r="B48" s="11" t="s">
        <v>27</v>
      </c>
    </row>
    <row r="49" spans="2:2" ht="15.75" x14ac:dyDescent="0.25">
      <c r="B49" s="10" t="s">
        <v>28</v>
      </c>
    </row>
    <row r="50" spans="2:2" ht="15.75" x14ac:dyDescent="0.25">
      <c r="B50" s="6" t="s">
        <v>219</v>
      </c>
    </row>
    <row r="51" spans="2:2" ht="15.75" x14ac:dyDescent="0.25">
      <c r="B51" s="6" t="s">
        <v>220</v>
      </c>
    </row>
    <row r="52" spans="2:2" ht="15.75" x14ac:dyDescent="0.25">
      <c r="B52" s="6" t="s">
        <v>221</v>
      </c>
    </row>
    <row r="53" spans="2:2" ht="15.75" x14ac:dyDescent="0.25">
      <c r="B53" s="6" t="s">
        <v>222</v>
      </c>
    </row>
    <row r="54" spans="2:2" ht="15.75" x14ac:dyDescent="0.25">
      <c r="B54" s="6" t="s">
        <v>29</v>
      </c>
    </row>
    <row r="55" spans="2:2" ht="15.75" x14ac:dyDescent="0.25">
      <c r="B55" s="6" t="s">
        <v>30</v>
      </c>
    </row>
    <row r="56" spans="2:2" ht="15.75" x14ac:dyDescent="0.25">
      <c r="B56" s="6" t="s">
        <v>31</v>
      </c>
    </row>
  </sheetData>
  <hyperlinks>
    <hyperlink ref="B13" location="'Plazas aloj islas cat y tipolog'!A1" tooltip="Plazas alojativas Canarias e islas" display="Plazas alojativas Canarias e islas" xr:uid="{7473E9C6-F6DB-4DD9-8435-5471A509F559}"/>
    <hyperlink ref="B19" location="'Viajeros entr evol mensu TF'!A1" tooltip="Evolución mensual de viajeros entrentrados en Tenerife según lugar de residencia" display="Evolución mensual de viajeros entrados en Tenerife según lugar de residencia" xr:uid="{2925E84D-D68E-4C9D-8291-2F82086594E9}"/>
    <hyperlink ref="B14" location="'Establecim aloj islas cat y tip'!A1" tooltip="Establecimientos alojativos Canarias e islas" display="Establecimientos alojativos Canarias e islas" xr:uid="{4D50BE6E-FD8F-4DAE-9651-CC6191E57251}"/>
    <hyperlink ref="B32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mes" xr:uid="{B8265273-1382-47EC-9A50-10DB59D617B6}"/>
    <hyperlink ref="B23" location="'Viajeros entr ti-cat ultimo mes'!A1" tooltip="Viajeros entrados en los establecimientos alojativos de Tenerife por municipio y categoría " display="Viajeros entrados en los establecimientos alojativos de Tenerife por municipio y categoría " xr:uid="{660EEAB3-3FFB-4148-BB11-77960A47EAD1}"/>
    <hyperlink ref="B37" location="'Pernoctaciones lugar reside'!A1" tooltip="Pernoctaciones registradas en establecimientos alojativos de Canarias e islas según tipología y categoría" display="'Pernoctaciones lugar reside'!A1" xr:uid="{F51E9B98-7B5E-4847-AB53-728A744EE98A}"/>
    <hyperlink ref="B8" location="'Resumen indicadores (aloj)'!A1" tooltip="Resumen indicadores Tenerife" display="'Resumen indicadores (aloj)'!A1" xr:uid="{372D1D08-CBBC-40FC-AE86-3A11739AFCFA}"/>
    <hyperlink ref="B9" location="'Resumen indicadores municipios '!A1" tooltip="Resumen indicadores municipios Tenerife" display="Resumen indicadores municipios Tenerife" xr:uid="{94973382-E10D-4DD9-8CF4-5A7D1CAE69F2}"/>
    <hyperlink ref="B20" location="'Viajeros entr evol mensu TF cat'!A1" tooltip="Evolución mensual de viajeros entrentrados en Tenerife según lugar de residencia" display="'Viajeros entr evol mensu TF cat'!A1" xr:uid="{2219C611-E7C0-4FB1-BB57-58608ABCE4D9}"/>
    <hyperlink ref="B21" location="'Viajeros entr evol anual TF cat'!A1" tooltip="Evolución mensual de viajeros entrentrados en Tenerife según lugar de residencia" display="'Viajeros entr evol anual TF cat'!A1" xr:uid="{2481F8D1-ACE7-4204-ABA9-25BFB497CB65}"/>
    <hyperlink ref="B33" location="'viaj aloj lugar residen mes'!A1" tooltip="Viajeros alojados en los establecimientos alojativos de Tenerife según lugar de residencia y municipio de alojamiento" display="Viajeros alojados en los establecimientos alojativos de Tenerife según lugar de residencia y municipio de alojamiento - acumulado" xr:uid="{8CD35489-85F8-4FFE-9FFA-665AD30D75F0}"/>
    <hyperlink ref="B24" location="'viaj entrados lugar resid años '!A1" tooltip="Viajeros entrados en los establecimientos alojativos de Tenerife según lugar de residencia y municipio de alojamiento" display="Viajeros entrados en los establecimientos alojativos de Tenerife según lugar de residencia y municipio de alojamiento - año" xr:uid="{3D778246-583D-46E2-935C-89F73CC487E1}"/>
    <hyperlink ref="B25" location="'viaj entrados lugar residencia'!A1" tooltip="Viajeros entrados en los establecimientos alojativos de Tenerife según lugar de residencia y municipio de alojamiento" display="Viajeros entrados en los establecimientos alojativos de Tenerife según lugar de residencia y municipio de alojamiento - mes" xr:uid="{9B151560-347B-4A3C-A8B0-9D7B8479F624}"/>
    <hyperlink ref="B26" location="'viaj entrados lugar residen acu'!A1" tooltip="Viajeros entrados en los establecimientos alojativos de Tenerife según lugar de residencia y municipio de alojamiento" display="Viajeros entrados en los establecimientos alojativos de Tenerife según lugar de residencia y municipio de alojamiento - acumulado" xr:uid="{7D53A1D7-3FAD-4CBD-A721-37ED46DEB9FB}"/>
    <hyperlink ref="B27:B28" location="'viaj entrados lugar residen acu'!A1" tooltip="Viajeros entrados en los establecimientos alojativos de según lugar de residencia y municipio de alojamiento" display="Viajeros entrados en los establecimientos alojativos de según lugar de residencia y municipio de alojamiento - acumulado" xr:uid="{6BCBE3CC-A6FF-4D85-AACB-E67BA23403F9}"/>
    <hyperlink ref="B27" location="'viaj entrados lugar residen hot'!A1" tooltip="Viajeros entrados en los hoteles de Tenerife según lugar de residencia y municipio de alojamiento - acumulado" display="Viajeros entrados en los hoteles de Tenerife según lugar de residencia y municipio de alojamiento - acumulado" xr:uid="{9B75AB18-C33B-4061-8BEF-58E992923D1B}"/>
    <hyperlink ref="B29" location="'viaj entrados lugar residen cat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cumulado" xr:uid="{83224565-0A56-48DF-A2F0-760E9A910F4A}"/>
    <hyperlink ref="B28" location="'viaj entrados lugar residen apt'!A1" tooltip="Viajeros entrados en los apartamentos de Tenerife según lugar de residencia y municipio de alojamiento" display="Viajeros entrados en los apartamentos de Tenerife según lugar de residencia y municipio de alojamiento - acumulado" xr:uid="{8FA1141F-F8B7-475A-9832-4C4A328B0021}"/>
    <hyperlink ref="B30" location="'viaj entr lugar res año categor'!A1" tooltip="Viajeros entrados en los establecimientos hoteleros de Tenerife según lugar de residencia, categoría y municipio del alojamiento" display="Viajeros entrados en los establecimientos hoteleros de Tenerife según lugar de residencia, categoría y municipio del alojamiento - año" xr:uid="{EE118349-0712-4BDD-811C-B8E1D6578876}"/>
    <hyperlink ref="B50" location="'distribución españoles x Resid'!A1" tooltip="=CONCATENAR(&quot;Viajeros españoles entrados en los hoteles y apartamentos de &quot;;Actualizaciones!$B$3;&quot; según lugar de residencia&quot;)" display="=CONCATENAR(&quot;Viajeros españoles entrados en los hoteles y apartamentos de &quot;;Actualizaciones!$B$3;&quot; según lugar de residencia - acumulado&quot;)" xr:uid="{BF0905A2-0954-428F-8584-61F7F6AA5354}"/>
    <hyperlink ref="B22" location="'distribución españoles x mun al'!A1" tooltip="Viajeros peninsulares entrados en los hoteles y apartamentos de Tenerife por municipio de alojamiento" display="Viajeros peninsulares entrados en los hoteles y apartamentos de Tenerife por municipio de alojamiento - acumulado" xr:uid="{42450B29-DBE0-4EA8-9A71-087B85CCE95C}"/>
    <hyperlink ref="B53" location="'distribución canarias x munici'!A1" tooltip="=CONCATENAR(&quot;Viajeros canarios entrados en los hoteles y apartamentos de &quot;;Actualizaciones!$B$3;&quot; por tipología y categoría de alojamiento&quot;)" display="'distribución canarias x munici'!A1" xr:uid="{68185960-CCF0-40E6-A228-BD19F197DF2A}"/>
    <hyperlink ref="B35" location="'Pernoctaciones evol mensu TF'!A1" tooltip="Evolución mensual de pernoctaciones en Tenerife según lugar de residencia" display="'Pernoctaciones evol mensu TF'!A1" xr:uid="{444B330D-550E-4F6A-8247-FF00C3A334CC}"/>
    <hyperlink ref="B36" location="'Pernocta evol mensu TF cat'!A1" tooltip="Evolución mensual de pernoctaciones en Tenerife según lugar de residencia" display="'Pernocta evol mensu TF cat'!A1" xr:uid="{B83359E1-D19A-413D-875C-29EC0751FA5F}"/>
    <hyperlink ref="B38" location="'Pernoctaciones lugar residen ac'!A1" tooltip="Pernoctaciones registradas en establecimientos alojativos de Canarias e islas según tipología y categoría" display="'Pernoctaciones lugar residen ac'!A1" xr:uid="{8058A7E6-D0DA-4416-AD76-8C293E13010C}"/>
    <hyperlink ref="B39" location="'Pernoctaciones lugar reside año'!A1" tooltip="Pernoctaciones registradas en establecimientos alojativos de Canarias e islas según tipología y categoría" display="'Pernoctaciones lugar reside año'!A1" xr:uid="{DB259A96-DDC0-4C67-8847-C4EB1DDF2FD1}"/>
    <hyperlink ref="B46" location="'ADR RevPAR ingresos totales ult'!A1" tooltip="Pernoctaciones registradas en establecimientos alojativos de Canarias e islas según tipología y categoría" display="Tarifa media diaria ADR por habitación en los establecimientos alojativos Tenerife por municipio  (hotel + apartamento) " xr:uid="{0D63BCBF-EB05-4229-A30E-15B748D73664}"/>
    <hyperlink ref="B41" location="'EM evol menusual lugar resd'!A1" tooltip="Evolución mensual de estancia media en Tenerife según lugar de residencia" display="'EM evol menusual lugar resd'!A1" xr:uid="{7C70EA0F-01E1-40BB-BF41-86B0DA1576EF}"/>
    <hyperlink ref="B42" location="'EM evol mensu TF cat '!A1" tooltip="Evolución mensual de estancia media en Tenerife según lugar de residencia" display="'EM evol mensu TF cat '!A1" xr:uid="{2E3B08A9-BAD2-4223-8999-4531D589A8CC}"/>
    <hyperlink ref="B44" location="'tasa de ocupación evol mens'!A1" tooltip="Evolución mensual de estancia media en Tenerife según lugar de residencia" display="'tasa de ocupación evol mens'!A1" xr:uid="{56F32051-262B-45EA-A4AE-78782D1DDDD4}"/>
    <hyperlink ref="B52" location="'distribución peninsula x munici'!A1" tooltip="=CONCATENAR(&quot;Viajeros peninsulares entrados en los hoteles y apartamentos de &quot;;Actualizaciones!$B$3;&quot; por tipología y categoría de alojamiento&quot;)" display="'distribución peninsula x munici'!A1" xr:uid="{F0FDC13A-42E9-4CC1-AC95-70A59CA27282}"/>
    <hyperlink ref="B51" location="'distribución españoles x mun al'!A1" tooltip="=CONCATENAR(&quot;Viajeros españoles entrados en los hoteles y apartamentos de &quot;;Actualizaciones!$B$3;&quot; por tipología y categoría de alojamiento&quot;)" display="'distribución españoles x mun al'!A1" xr:uid="{665FAD45-DDA6-47E7-802E-C1AEF8731F63}"/>
    <hyperlink ref="B54" location="'evolución anual viaj ent españo'!A1" tooltip="Viajeros españoles entrados en los hoteles y apartamentos de Tenerife por municipio de alojamiento" display="Viajeros españoles entrados en los hoteles y apartamentos de Tenerife por municipio de alojamiento" xr:uid="{406B4D5A-77CE-4834-AD4D-C0849D2DD8A0}"/>
    <hyperlink ref="B55" location="'evolución anual viaj ent penins'!A1" tooltip="Viajeros peninsulares entrados en los hoteles y apartamentos de Tenerife por municipio de alojamiento" display="Viajeros peninsulares entrados en los hoteles y apartamentos de Tenerife por municipio de alojamiento" xr:uid="{4321C140-C1F8-460B-9E8B-6F8BE49836D3}"/>
    <hyperlink ref="B56" location="'evolución anual viaj ent canari'!A1" tooltip="Viajeros canarios entrados en los hoteles y apartamentos de Tenerife por municipio de alojamiento" display="Viajeros canarios entrados en los hoteles y apartamentos de Tenerife por municipio de alojamiento" xr:uid="{26C910EF-C2A2-4F1B-B806-14A96C436F7D}"/>
    <hyperlink ref="B47" location="'ADR municipios'!A1" display="Tarifa media diaria (ADR) Tenerife y municipios" xr:uid="{C59A4967-9E3D-42FB-B7A9-78D9F7A5A051}"/>
    <hyperlink ref="B48" location="'RevPAR  municipios'!A1" display="Ingresos medios por habitación (RevPar) Tenerife y municipios" xr:uid="{2A814B72-04F0-4B8A-AC45-9EA64F00588D}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6D0F46-A99D-4FF9-99C6-427F90BEB633}">
  <sheetPr>
    <tabColor theme="7" tint="0.79998168889431442"/>
  </sheetPr>
  <dimension ref="A4:O89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78" t="s">
        <v>249</v>
      </c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3" t="s">
        <v>134</v>
      </c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</row>
    <row r="7" spans="1:15" ht="22.5" thickTop="1" thickBot="1" x14ac:dyDescent="0.3">
      <c r="B7" s="111"/>
      <c r="C7" s="305">
        <f>E7-1</f>
        <v>2020</v>
      </c>
      <c r="D7" s="306"/>
      <c r="E7" s="307">
        <f t="shared" ref="E7" si="0">G7-1</f>
        <v>2021</v>
      </c>
      <c r="F7" s="306"/>
      <c r="G7" s="307">
        <f t="shared" ref="G7" si="1">I7-1</f>
        <v>2022</v>
      </c>
      <c r="H7" s="306"/>
      <c r="I7" s="307">
        <f t="shared" ref="I7" si="2">K7-1</f>
        <v>2023</v>
      </c>
      <c r="J7" s="306"/>
      <c r="K7" s="307">
        <f>M7-1</f>
        <v>2024</v>
      </c>
      <c r="L7" s="306"/>
      <c r="M7" s="307">
        <v>2025</v>
      </c>
      <c r="N7" s="308"/>
    </row>
    <row r="8" spans="1:15" ht="16.5" thickTop="1" thickBot="1" x14ac:dyDescent="0.3">
      <c r="B8" s="87"/>
      <c r="C8" s="115" t="s">
        <v>71</v>
      </c>
      <c r="D8" s="116" t="str">
        <f>CONCATENATE("var ",RIGHT(C7,2),"/",RIGHT(C7-1,2))</f>
        <v>var 20/19</v>
      </c>
      <c r="E8" s="117" t="s">
        <v>71</v>
      </c>
      <c r="F8" s="116" t="str">
        <f>CONCATENATE("var ",RIGHT(E7,2),"/",RIGHT(E7-1,2))</f>
        <v>var 21/20</v>
      </c>
      <c r="G8" s="117" t="s">
        <v>71</v>
      </c>
      <c r="H8" s="116" t="str">
        <f>CONCATENATE("var ",RIGHT(G7,2),"/",RIGHT(G7-1,2))</f>
        <v>var 22/21</v>
      </c>
      <c r="I8" s="117" t="s">
        <v>71</v>
      </c>
      <c r="J8" s="116" t="str">
        <f>CONCATENATE("var ",RIGHT(I7,2),"/",RIGHT(I7-1,2))</f>
        <v>var 23/22</v>
      </c>
      <c r="K8" s="117" t="s">
        <v>71</v>
      </c>
      <c r="L8" s="116" t="str">
        <f>CONCATENATE("var ",RIGHT(K7,2),"/",RIGHT(K7-1,2))</f>
        <v>var 24/23</v>
      </c>
      <c r="M8" s="117" t="s">
        <v>71</v>
      </c>
      <c r="N8" s="116" t="str">
        <f>CONCATENATE("var ",RIGHT(M7,2),"/",RIGHT(M7-1,2))</f>
        <v>var 25/24</v>
      </c>
    </row>
    <row r="9" spans="1:15" x14ac:dyDescent="0.25">
      <c r="A9" s="1" t="s">
        <v>72</v>
      </c>
      <c r="B9" s="118" t="s">
        <v>73</v>
      </c>
      <c r="C9" s="119">
        <v>20553</v>
      </c>
      <c r="D9" s="120">
        <v>0</v>
      </c>
      <c r="E9" s="119">
        <v>4767</v>
      </c>
      <c r="F9" s="120">
        <f t="shared" ref="F9:L21" si="3">IFERROR(E9/C9-1,"-")</f>
        <v>-0.76806305648810391</v>
      </c>
      <c r="G9" s="119">
        <v>14146</v>
      </c>
      <c r="H9" s="120">
        <f t="shared" si="3"/>
        <v>1.9674847912733373</v>
      </c>
      <c r="I9" s="119">
        <v>23609</v>
      </c>
      <c r="J9" s="120">
        <f t="shared" si="3"/>
        <v>0.66895235402233855</v>
      </c>
      <c r="K9" s="119">
        <v>23867</v>
      </c>
      <c r="L9" s="120">
        <f t="shared" si="3"/>
        <v>1.0928035918505552E-2</v>
      </c>
      <c r="M9" s="119">
        <v>24602</v>
      </c>
      <c r="N9" s="120">
        <f t="shared" ref="N9" si="4">IFERROR(M9/K9-1,"-")</f>
        <v>3.0795659278501697E-2</v>
      </c>
    </row>
    <row r="10" spans="1:15" x14ac:dyDescent="0.25">
      <c r="A10" s="1" t="s">
        <v>74</v>
      </c>
      <c r="B10" s="118" t="s">
        <v>75</v>
      </c>
      <c r="C10" s="119">
        <v>23364</v>
      </c>
      <c r="D10" s="120">
        <v>0.11634574036026568</v>
      </c>
      <c r="E10" s="119">
        <v>8041</v>
      </c>
      <c r="F10" s="120">
        <f t="shared" si="3"/>
        <v>-0.65583804143126179</v>
      </c>
      <c r="G10" s="119">
        <v>17059</v>
      </c>
      <c r="H10" s="120">
        <f t="shared" si="3"/>
        <v>1.1215023007088671</v>
      </c>
      <c r="I10" s="119">
        <v>22775</v>
      </c>
      <c r="J10" s="120">
        <f t="shared" si="3"/>
        <v>0.33507239580280213</v>
      </c>
      <c r="K10" s="119">
        <v>22625</v>
      </c>
      <c r="L10" s="120">
        <f t="shared" si="3"/>
        <v>-6.5861690450055299E-3</v>
      </c>
      <c r="M10" s="119">
        <v>24926</v>
      </c>
      <c r="N10" s="120">
        <f>IFERROR(M10/K10-1,"-")</f>
        <v>0.10170165745856363</v>
      </c>
    </row>
    <row r="11" spans="1:15" x14ac:dyDescent="0.25">
      <c r="A11" s="1" t="s">
        <v>76</v>
      </c>
      <c r="B11" s="118" t="s">
        <v>77</v>
      </c>
      <c r="C11" s="119">
        <v>8936</v>
      </c>
      <c r="D11" s="120">
        <v>-0.58969649662518941</v>
      </c>
      <c r="E11" s="119">
        <v>10312</v>
      </c>
      <c r="F11" s="120">
        <f t="shared" si="3"/>
        <v>0.15398388540734098</v>
      </c>
      <c r="G11" s="119">
        <v>20054</v>
      </c>
      <c r="H11" s="120">
        <f t="shared" si="3"/>
        <v>0.94472459270752518</v>
      </c>
      <c r="I11" s="119">
        <v>25174</v>
      </c>
      <c r="J11" s="120">
        <f t="shared" si="3"/>
        <v>0.25531066121472024</v>
      </c>
      <c r="K11" s="119">
        <v>22971</v>
      </c>
      <c r="L11" s="120">
        <f t="shared" si="3"/>
        <v>-8.7510923969174592E-2</v>
      </c>
      <c r="M11" s="119">
        <v>26883</v>
      </c>
      <c r="N11" s="120">
        <f>IFERROR(M11/K11-1,"-")</f>
        <v>0.17030168473292417</v>
      </c>
    </row>
    <row r="12" spans="1:15" x14ac:dyDescent="0.25">
      <c r="A12" s="1" t="s">
        <v>78</v>
      </c>
      <c r="B12" s="118" t="s">
        <v>79</v>
      </c>
      <c r="C12" s="119">
        <v>0</v>
      </c>
      <c r="D12" s="120">
        <v>-1</v>
      </c>
      <c r="E12" s="119">
        <v>9597</v>
      </c>
      <c r="F12" s="120" t="str">
        <f t="shared" si="3"/>
        <v>-</v>
      </c>
      <c r="G12" s="119">
        <v>17340</v>
      </c>
      <c r="H12" s="120">
        <f t="shared" si="3"/>
        <v>0.8068146295717411</v>
      </c>
      <c r="I12" s="119">
        <v>19154</v>
      </c>
      <c r="J12" s="120">
        <f t="shared" si="3"/>
        <v>0.10461361014994242</v>
      </c>
      <c r="K12" s="119">
        <v>19029</v>
      </c>
      <c r="L12" s="120">
        <f t="shared" si="3"/>
        <v>-6.5260519995823385E-3</v>
      </c>
      <c r="M12" s="119">
        <v>20857</v>
      </c>
      <c r="N12" s="120">
        <f>IFERROR(M12/K12-1,"-")</f>
        <v>9.6063902464659234E-2</v>
      </c>
    </row>
    <row r="13" spans="1:15" x14ac:dyDescent="0.25">
      <c r="A13" s="1" t="s">
        <v>80</v>
      </c>
      <c r="B13" s="118" t="s">
        <v>81</v>
      </c>
      <c r="C13" s="119">
        <v>0</v>
      </c>
      <c r="D13" s="120">
        <v>-1</v>
      </c>
      <c r="E13" s="119">
        <v>12545</v>
      </c>
      <c r="F13" s="120" t="str">
        <f t="shared" si="3"/>
        <v>-</v>
      </c>
      <c r="G13" s="119">
        <v>18214</v>
      </c>
      <c r="H13" s="120">
        <f t="shared" si="3"/>
        <v>0.45189318453567151</v>
      </c>
      <c r="I13" s="119">
        <v>17881</v>
      </c>
      <c r="J13" s="120">
        <f t="shared" si="3"/>
        <v>-1.828263972768196E-2</v>
      </c>
      <c r="K13" s="119">
        <v>17439</v>
      </c>
      <c r="L13" s="120">
        <f t="shared" si="3"/>
        <v>-2.4718975448800418E-2</v>
      </c>
      <c r="M13" s="119">
        <v>22620</v>
      </c>
      <c r="N13" s="120">
        <f>IFERROR(M13/K13-1,"-")</f>
        <v>0.29709272320660585</v>
      </c>
    </row>
    <row r="14" spans="1:15" x14ac:dyDescent="0.25">
      <c r="A14" s="1" t="s">
        <v>82</v>
      </c>
      <c r="B14" s="118" t="s">
        <v>83</v>
      </c>
      <c r="C14" s="119">
        <v>0</v>
      </c>
      <c r="D14" s="120">
        <v>-1</v>
      </c>
      <c r="E14" s="119">
        <v>13541</v>
      </c>
      <c r="F14" s="120" t="str">
        <f t="shared" si="3"/>
        <v>-</v>
      </c>
      <c r="G14" s="119">
        <v>17608</v>
      </c>
      <c r="H14" s="120">
        <f t="shared" si="3"/>
        <v>0.30034709401078197</v>
      </c>
      <c r="I14" s="119">
        <v>17983</v>
      </c>
      <c r="J14" s="120">
        <f t="shared" si="3"/>
        <v>2.1297137664697763E-2</v>
      </c>
      <c r="K14" s="119">
        <v>19479</v>
      </c>
      <c r="L14" s="120">
        <f t="shared" si="3"/>
        <v>8.3189679141411288E-2</v>
      </c>
      <c r="M14" s="119">
        <v>20873</v>
      </c>
      <c r="N14" s="120">
        <f>IFERROR(M14/K14-1,"-")</f>
        <v>7.1564248678063658E-2</v>
      </c>
    </row>
    <row r="15" spans="1:15" x14ac:dyDescent="0.25">
      <c r="A15" s="1" t="s">
        <v>84</v>
      </c>
      <c r="B15" s="118" t="s">
        <v>85</v>
      </c>
      <c r="C15" s="119">
        <v>0</v>
      </c>
      <c r="D15" s="120">
        <v>-1</v>
      </c>
      <c r="E15" s="119">
        <v>14398</v>
      </c>
      <c r="F15" s="120" t="str">
        <f t="shared" si="3"/>
        <v>-</v>
      </c>
      <c r="G15" s="119">
        <v>18083</v>
      </c>
      <c r="H15" s="120">
        <f t="shared" si="3"/>
        <v>0.25593832476732881</v>
      </c>
      <c r="I15" s="119">
        <v>16810</v>
      </c>
      <c r="J15" s="120">
        <f t="shared" si="3"/>
        <v>-7.0397611015871275E-2</v>
      </c>
      <c r="K15" s="119">
        <v>21632</v>
      </c>
      <c r="L15" s="120">
        <f t="shared" si="3"/>
        <v>0.28685306365258767</v>
      </c>
      <c r="M15" s="119"/>
      <c r="N15" s="120"/>
    </row>
    <row r="16" spans="1:15" x14ac:dyDescent="0.25">
      <c r="A16" s="1" t="s">
        <v>86</v>
      </c>
      <c r="B16" s="118" t="s">
        <v>87</v>
      </c>
      <c r="C16" s="119">
        <v>6776</v>
      </c>
      <c r="D16" s="120">
        <v>-0.50873631552236642</v>
      </c>
      <c r="E16" s="119">
        <v>13925</v>
      </c>
      <c r="F16" s="120">
        <f t="shared" si="3"/>
        <v>1.0550472255017711</v>
      </c>
      <c r="G16" s="119">
        <v>15520</v>
      </c>
      <c r="H16" s="120">
        <f t="shared" si="3"/>
        <v>0.1145421903052064</v>
      </c>
      <c r="I16" s="119">
        <v>14993</v>
      </c>
      <c r="J16" s="120">
        <f t="shared" si="3"/>
        <v>-3.39561855670103E-2</v>
      </c>
      <c r="K16" s="119">
        <v>15201</v>
      </c>
      <c r="L16" s="120">
        <f t="shared" si="3"/>
        <v>1.3873140799039563E-2</v>
      </c>
      <c r="M16" s="119"/>
      <c r="N16" s="120"/>
    </row>
    <row r="17" spans="1:15" x14ac:dyDescent="0.25">
      <c r="A17" s="1" t="s">
        <v>88</v>
      </c>
      <c r="B17" s="118" t="s">
        <v>89</v>
      </c>
      <c r="C17" s="119">
        <v>7423</v>
      </c>
      <c r="D17" s="120">
        <v>-0.53583041520760388</v>
      </c>
      <c r="E17" s="119">
        <v>16473</v>
      </c>
      <c r="F17" s="120">
        <f t="shared" si="3"/>
        <v>1.2191836184830929</v>
      </c>
      <c r="G17" s="119">
        <v>19959</v>
      </c>
      <c r="H17" s="120">
        <f t="shared" si="3"/>
        <v>0.21161901293024954</v>
      </c>
      <c r="I17" s="119">
        <v>15933</v>
      </c>
      <c r="J17" s="120">
        <f t="shared" si="3"/>
        <v>-0.2017135127010371</v>
      </c>
      <c r="K17" s="119">
        <v>19577</v>
      </c>
      <c r="L17" s="120">
        <f t="shared" si="3"/>
        <v>0.22870771355049269</v>
      </c>
      <c r="M17" s="119"/>
      <c r="N17" s="120"/>
    </row>
    <row r="18" spans="1:15" x14ac:dyDescent="0.25">
      <c r="A18" s="1" t="s">
        <v>90</v>
      </c>
      <c r="B18" s="118" t="s">
        <v>91</v>
      </c>
      <c r="C18" s="119">
        <v>9298</v>
      </c>
      <c r="D18" s="120">
        <v>-0.50216844246934733</v>
      </c>
      <c r="E18" s="119">
        <v>19721</v>
      </c>
      <c r="F18" s="120">
        <f t="shared" si="3"/>
        <v>1.1209937620993764</v>
      </c>
      <c r="G18" s="119">
        <v>21932</v>
      </c>
      <c r="H18" s="120">
        <f t="shared" si="3"/>
        <v>0.11211399016277057</v>
      </c>
      <c r="I18" s="119">
        <v>20553</v>
      </c>
      <c r="J18" s="120">
        <f t="shared" si="3"/>
        <v>-6.2876162684661674E-2</v>
      </c>
      <c r="K18" s="119">
        <v>19337</v>
      </c>
      <c r="L18" s="120">
        <f t="shared" si="3"/>
        <v>-5.9164112295042037E-2</v>
      </c>
      <c r="M18" s="119"/>
      <c r="N18" s="120"/>
    </row>
    <row r="19" spans="1:15" x14ac:dyDescent="0.25">
      <c r="A19" s="1" t="s">
        <v>92</v>
      </c>
      <c r="B19" s="118" t="s">
        <v>93</v>
      </c>
      <c r="C19" s="119">
        <v>8104</v>
      </c>
      <c r="D19" s="120">
        <v>-0.62628545077242337</v>
      </c>
      <c r="E19" s="119">
        <v>22740</v>
      </c>
      <c r="F19" s="120">
        <f t="shared" si="3"/>
        <v>1.8060217176702862</v>
      </c>
      <c r="G19" s="119">
        <v>25251</v>
      </c>
      <c r="H19" s="120">
        <f t="shared" si="3"/>
        <v>0.11042216358839041</v>
      </c>
      <c r="I19" s="119">
        <v>23667</v>
      </c>
      <c r="J19" s="120">
        <f t="shared" si="3"/>
        <v>-6.2730188903409756E-2</v>
      </c>
      <c r="K19" s="119">
        <v>25085</v>
      </c>
      <c r="L19" s="120">
        <f t="shared" si="3"/>
        <v>5.9914649089449545E-2</v>
      </c>
      <c r="M19" s="119"/>
      <c r="N19" s="120"/>
    </row>
    <row r="20" spans="1:15" x14ac:dyDescent="0.25">
      <c r="A20" s="1" t="s">
        <v>94</v>
      </c>
      <c r="B20" s="118" t="s">
        <v>95</v>
      </c>
      <c r="C20" s="119">
        <v>6962</v>
      </c>
      <c r="D20" s="120">
        <v>-0.66725612961812364</v>
      </c>
      <c r="E20" s="119">
        <v>18198</v>
      </c>
      <c r="F20" s="120">
        <f t="shared" si="3"/>
        <v>1.6139040505601838</v>
      </c>
      <c r="G20" s="119">
        <v>23965</v>
      </c>
      <c r="H20" s="120">
        <f t="shared" si="3"/>
        <v>0.3169029563688317</v>
      </c>
      <c r="I20" s="119">
        <v>20577</v>
      </c>
      <c r="J20" s="120">
        <f t="shared" si="3"/>
        <v>-0.14137283538493639</v>
      </c>
      <c r="K20" s="119">
        <v>24629</v>
      </c>
      <c r="L20" s="120">
        <f t="shared" si="3"/>
        <v>0.19691889002284113</v>
      </c>
      <c r="M20" s="119"/>
      <c r="N20" s="120"/>
    </row>
    <row r="21" spans="1:15" ht="15.75" x14ac:dyDescent="0.25">
      <c r="A21" s="1" t="s">
        <v>0</v>
      </c>
      <c r="B21" s="121" t="s">
        <v>32</v>
      </c>
      <c r="C21" s="122">
        <v>103516</v>
      </c>
      <c r="D21" s="123">
        <v>-0.53035864165324509</v>
      </c>
      <c r="E21" s="122">
        <v>164258</v>
      </c>
      <c r="F21" s="123">
        <f t="shared" si="3"/>
        <v>0.58678851578499946</v>
      </c>
      <c r="G21" s="122">
        <v>229131</v>
      </c>
      <c r="H21" s="123">
        <f t="shared" si="3"/>
        <v>0.39494575606667559</v>
      </c>
      <c r="I21" s="122">
        <v>239109</v>
      </c>
      <c r="J21" s="123">
        <f t="shared" si="3"/>
        <v>4.3547141155059865E-2</v>
      </c>
      <c r="K21" s="122">
        <v>250871</v>
      </c>
      <c r="L21" s="123">
        <f t="shared" si="3"/>
        <v>4.9190954752853289E-2</v>
      </c>
      <c r="M21" s="122">
        <v>140761</v>
      </c>
      <c r="N21" s="123">
        <v>0.12240650665816122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19"/>
      <c r="N23" s="107"/>
    </row>
    <row r="24" spans="1:15" x14ac:dyDescent="0.25">
      <c r="K24" s="124"/>
      <c r="N24" s="81"/>
    </row>
    <row r="26" spans="1:15" ht="48.75" customHeight="1" thickBot="1" x14ac:dyDescent="0.3">
      <c r="B26" s="278" t="s">
        <v>250</v>
      </c>
      <c r="C26" s="278"/>
      <c r="D26" s="278"/>
      <c r="E26" s="278"/>
      <c r="F26" s="278"/>
      <c r="G26" s="278"/>
      <c r="H26" s="278"/>
      <c r="I26" s="278"/>
      <c r="J26" s="278"/>
      <c r="K26" s="278"/>
      <c r="L26" s="278"/>
      <c r="M26" s="278"/>
      <c r="N26" s="278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5" t="s">
        <v>98</v>
      </c>
      <c r="C28" s="303" t="s">
        <v>139</v>
      </c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</row>
    <row r="29" spans="1:15" ht="22.5" thickTop="1" thickBot="1" x14ac:dyDescent="0.3">
      <c r="B29" s="111"/>
      <c r="C29" s="305">
        <f>$C$7</f>
        <v>2020</v>
      </c>
      <c r="D29" s="306"/>
      <c r="E29" s="307">
        <f>$C$7</f>
        <v>2020</v>
      </c>
      <c r="F29" s="306"/>
      <c r="G29" s="307">
        <v>2022</v>
      </c>
      <c r="H29" s="306"/>
      <c r="I29" s="307">
        <v>2023</v>
      </c>
      <c r="J29" s="306"/>
      <c r="K29" s="307">
        <v>2024</v>
      </c>
      <c r="L29" s="306"/>
      <c r="M29" s="307">
        <v>2025</v>
      </c>
      <c r="N29" s="308"/>
    </row>
    <row r="30" spans="1:15" ht="16.5" thickTop="1" thickBot="1" x14ac:dyDescent="0.3">
      <c r="B30" s="87"/>
      <c r="C30" s="115" t="s">
        <v>71</v>
      </c>
      <c r="D30" s="116" t="str">
        <f>CONCATENATE("var ",RIGHT(C29,2),"/",RIGHT(C29-1,2))</f>
        <v>var 20/19</v>
      </c>
      <c r="E30" s="117" t="s">
        <v>71</v>
      </c>
      <c r="F30" s="116" t="str">
        <f>CONCATENATE("var ",RIGHT(E29,2),"/",RIGHT(E29-1,2))</f>
        <v>var 20/19</v>
      </c>
      <c r="G30" s="117" t="s">
        <v>71</v>
      </c>
      <c r="H30" s="116" t="str">
        <f>CONCATENATE("var ",RIGHT(G29,2),"/",RIGHT(G29-1,2))</f>
        <v>var 22/21</v>
      </c>
      <c r="I30" s="117" t="s">
        <v>71</v>
      </c>
      <c r="J30" s="116" t="str">
        <f>CONCATENATE("var ",RIGHT(I29,2),"/",RIGHT(I29-1,2))</f>
        <v>var 23/22</v>
      </c>
      <c r="K30" s="117" t="s">
        <v>71</v>
      </c>
      <c r="L30" s="116" t="str">
        <f>CONCATENATE("var ",RIGHT(K29,2),"/",RIGHT(K29-1,2))</f>
        <v>var 24/23</v>
      </c>
      <c r="M30" s="117" t="s">
        <v>71</v>
      </c>
      <c r="N30" s="116" t="str">
        <f>CONCATENATE("var ",RIGHT(M29,2),"/",RIGHT(M29-1,2))</f>
        <v>var 25/24</v>
      </c>
    </row>
    <row r="31" spans="1:15" x14ac:dyDescent="0.25">
      <c r="B31" s="118" t="s">
        <v>73</v>
      </c>
      <c r="C31" s="119">
        <v>20553</v>
      </c>
      <c r="D31" s="120">
        <v>0</v>
      </c>
      <c r="E31" s="119">
        <v>20553</v>
      </c>
      <c r="F31" s="120">
        <f t="shared" ref="F31:L43" si="5">IFERROR(E31/C31-1,"-")</f>
        <v>0</v>
      </c>
      <c r="G31" s="119">
        <v>14146</v>
      </c>
      <c r="H31" s="120">
        <f t="shared" si="5"/>
        <v>-0.31173064759402525</v>
      </c>
      <c r="I31" s="119">
        <v>23609</v>
      </c>
      <c r="J31" s="120">
        <f t="shared" si="5"/>
        <v>0.66895235402233855</v>
      </c>
      <c r="K31" s="119">
        <v>23867</v>
      </c>
      <c r="L31" s="120">
        <f t="shared" si="5"/>
        <v>1.0928035918505552E-2</v>
      </c>
      <c r="M31" s="119">
        <v>24602</v>
      </c>
      <c r="N31" s="120">
        <f t="shared" ref="N31:N36" si="6">IFERROR(M31/K31-1,"-")</f>
        <v>3.0795659278501697E-2</v>
      </c>
    </row>
    <row r="32" spans="1:15" x14ac:dyDescent="0.25">
      <c r="B32" s="118" t="s">
        <v>75</v>
      </c>
      <c r="C32" s="119">
        <v>23364</v>
      </c>
      <c r="D32" s="120">
        <v>0.11634574036026568</v>
      </c>
      <c r="E32" s="119">
        <v>23364</v>
      </c>
      <c r="F32" s="120">
        <f t="shared" si="5"/>
        <v>0</v>
      </c>
      <c r="G32" s="119">
        <v>17059</v>
      </c>
      <c r="H32" s="120">
        <f t="shared" si="5"/>
        <v>-0.2698596130799521</v>
      </c>
      <c r="I32" s="119">
        <v>22775</v>
      </c>
      <c r="J32" s="120">
        <f t="shared" si="5"/>
        <v>0.33507239580280213</v>
      </c>
      <c r="K32" s="119">
        <v>22625</v>
      </c>
      <c r="L32" s="120">
        <f t="shared" si="5"/>
        <v>-6.5861690450055299E-3</v>
      </c>
      <c r="M32" s="119">
        <v>24926</v>
      </c>
      <c r="N32" s="120">
        <f t="shared" si="6"/>
        <v>0.10170165745856363</v>
      </c>
    </row>
    <row r="33" spans="2:15" x14ac:dyDescent="0.25">
      <c r="B33" s="118" t="s">
        <v>77</v>
      </c>
      <c r="C33" s="119">
        <v>8936</v>
      </c>
      <c r="D33" s="120">
        <v>-0.58969649662518941</v>
      </c>
      <c r="E33" s="119">
        <v>8936</v>
      </c>
      <c r="F33" s="120">
        <f t="shared" si="5"/>
        <v>0</v>
      </c>
      <c r="G33" s="119">
        <v>20054</v>
      </c>
      <c r="H33" s="120">
        <f t="shared" si="5"/>
        <v>1.2441808415398388</v>
      </c>
      <c r="I33" s="119">
        <v>25174</v>
      </c>
      <c r="J33" s="120">
        <f t="shared" si="5"/>
        <v>0.25531066121472024</v>
      </c>
      <c r="K33" s="119">
        <v>22971</v>
      </c>
      <c r="L33" s="120">
        <f t="shared" si="5"/>
        <v>-8.7510923969174592E-2</v>
      </c>
      <c r="M33" s="119">
        <v>26883</v>
      </c>
      <c r="N33" s="120">
        <f t="shared" si="6"/>
        <v>0.17030168473292417</v>
      </c>
    </row>
    <row r="34" spans="2:15" x14ac:dyDescent="0.25">
      <c r="B34" s="118" t="s">
        <v>79</v>
      </c>
      <c r="C34" s="119">
        <v>0</v>
      </c>
      <c r="D34" s="120">
        <v>-1</v>
      </c>
      <c r="E34" s="119">
        <v>0</v>
      </c>
      <c r="F34" s="120" t="str">
        <f t="shared" si="5"/>
        <v>-</v>
      </c>
      <c r="G34" s="119">
        <v>17340</v>
      </c>
      <c r="H34" s="120" t="str">
        <f t="shared" si="5"/>
        <v>-</v>
      </c>
      <c r="I34" s="119">
        <v>19154</v>
      </c>
      <c r="J34" s="120">
        <f t="shared" si="5"/>
        <v>0.10461361014994242</v>
      </c>
      <c r="K34" s="119">
        <v>19029</v>
      </c>
      <c r="L34" s="120">
        <f t="shared" si="5"/>
        <v>-6.5260519995823385E-3</v>
      </c>
      <c r="M34" s="119">
        <v>20857</v>
      </c>
      <c r="N34" s="120">
        <f t="shared" si="6"/>
        <v>9.6063902464659234E-2</v>
      </c>
    </row>
    <row r="35" spans="2:15" x14ac:dyDescent="0.25">
      <c r="B35" s="118" t="s">
        <v>81</v>
      </c>
      <c r="C35" s="119">
        <v>0</v>
      </c>
      <c r="D35" s="120">
        <v>-1</v>
      </c>
      <c r="E35" s="119">
        <v>0</v>
      </c>
      <c r="F35" s="120" t="str">
        <f t="shared" si="5"/>
        <v>-</v>
      </c>
      <c r="G35" s="119">
        <v>18214</v>
      </c>
      <c r="H35" s="120" t="str">
        <f t="shared" si="5"/>
        <v>-</v>
      </c>
      <c r="I35" s="119">
        <v>17881</v>
      </c>
      <c r="J35" s="120">
        <f t="shared" si="5"/>
        <v>-1.828263972768196E-2</v>
      </c>
      <c r="K35" s="119">
        <v>17439</v>
      </c>
      <c r="L35" s="120">
        <f t="shared" si="5"/>
        <v>-2.4718975448800418E-2</v>
      </c>
      <c r="M35" s="119">
        <v>22620</v>
      </c>
      <c r="N35" s="120">
        <f t="shared" si="6"/>
        <v>0.29709272320660585</v>
      </c>
    </row>
    <row r="36" spans="2:15" x14ac:dyDescent="0.25">
      <c r="B36" s="118" t="s">
        <v>83</v>
      </c>
      <c r="C36" s="119">
        <v>0</v>
      </c>
      <c r="D36" s="120">
        <v>-1</v>
      </c>
      <c r="E36" s="119">
        <v>0</v>
      </c>
      <c r="F36" s="120" t="str">
        <f t="shared" si="5"/>
        <v>-</v>
      </c>
      <c r="G36" s="119">
        <v>17608</v>
      </c>
      <c r="H36" s="120" t="str">
        <f t="shared" si="5"/>
        <v>-</v>
      </c>
      <c r="I36" s="119">
        <v>17983</v>
      </c>
      <c r="J36" s="120">
        <f t="shared" si="5"/>
        <v>2.1297137664697763E-2</v>
      </c>
      <c r="K36" s="119">
        <v>19479</v>
      </c>
      <c r="L36" s="120">
        <f t="shared" si="5"/>
        <v>8.3189679141411288E-2</v>
      </c>
      <c r="M36" s="119">
        <v>20873</v>
      </c>
      <c r="N36" s="120">
        <f t="shared" si="6"/>
        <v>7.1564248678063658E-2</v>
      </c>
    </row>
    <row r="37" spans="2:15" x14ac:dyDescent="0.25">
      <c r="B37" s="118" t="s">
        <v>85</v>
      </c>
      <c r="C37" s="119">
        <v>0</v>
      </c>
      <c r="D37" s="120">
        <v>-1</v>
      </c>
      <c r="E37" s="119">
        <v>0</v>
      </c>
      <c r="F37" s="120" t="str">
        <f t="shared" si="5"/>
        <v>-</v>
      </c>
      <c r="G37" s="119">
        <v>18083</v>
      </c>
      <c r="H37" s="120" t="str">
        <f t="shared" si="5"/>
        <v>-</v>
      </c>
      <c r="I37" s="119">
        <v>16810</v>
      </c>
      <c r="J37" s="120">
        <f t="shared" si="5"/>
        <v>-7.0397611015871275E-2</v>
      </c>
      <c r="K37" s="119">
        <v>21632</v>
      </c>
      <c r="L37" s="120">
        <f t="shared" si="5"/>
        <v>0.28685306365258767</v>
      </c>
      <c r="M37" s="119"/>
      <c r="N37" s="120"/>
    </row>
    <row r="38" spans="2:15" x14ac:dyDescent="0.25">
      <c r="B38" s="118" t="s">
        <v>87</v>
      </c>
      <c r="C38" s="119">
        <v>6776</v>
      </c>
      <c r="D38" s="120">
        <v>-0.50873631552236642</v>
      </c>
      <c r="E38" s="119">
        <v>6776</v>
      </c>
      <c r="F38" s="120">
        <f t="shared" si="5"/>
        <v>0</v>
      </c>
      <c r="G38" s="119">
        <v>15520</v>
      </c>
      <c r="H38" s="120">
        <f t="shared" si="5"/>
        <v>1.2904368358913811</v>
      </c>
      <c r="I38" s="119">
        <v>14993</v>
      </c>
      <c r="J38" s="120">
        <f t="shared" si="5"/>
        <v>-3.39561855670103E-2</v>
      </c>
      <c r="K38" s="119">
        <v>15201</v>
      </c>
      <c r="L38" s="120">
        <f t="shared" si="5"/>
        <v>1.3873140799039563E-2</v>
      </c>
      <c r="M38" s="119"/>
      <c r="N38" s="120"/>
    </row>
    <row r="39" spans="2:15" x14ac:dyDescent="0.25">
      <c r="B39" s="118" t="s">
        <v>89</v>
      </c>
      <c r="C39" s="119">
        <v>7423</v>
      </c>
      <c r="D39" s="120">
        <v>-0.53583041520760388</v>
      </c>
      <c r="E39" s="119">
        <v>7423</v>
      </c>
      <c r="F39" s="120">
        <f t="shared" si="5"/>
        <v>0</v>
      </c>
      <c r="G39" s="119">
        <v>19959</v>
      </c>
      <c r="H39" s="120">
        <f t="shared" si="5"/>
        <v>1.6888050653374647</v>
      </c>
      <c r="I39" s="119">
        <v>15933</v>
      </c>
      <c r="J39" s="120">
        <f t="shared" si="5"/>
        <v>-0.2017135127010371</v>
      </c>
      <c r="K39" s="119">
        <v>19577</v>
      </c>
      <c r="L39" s="120">
        <f t="shared" si="5"/>
        <v>0.22870771355049269</v>
      </c>
      <c r="M39" s="119"/>
      <c r="N39" s="120"/>
    </row>
    <row r="40" spans="2:15" x14ac:dyDescent="0.25">
      <c r="B40" s="118" t="s">
        <v>91</v>
      </c>
      <c r="C40" s="119">
        <v>9298</v>
      </c>
      <c r="D40" s="120">
        <v>-0.50216844246934733</v>
      </c>
      <c r="E40" s="119">
        <v>9298</v>
      </c>
      <c r="F40" s="120">
        <f t="shared" si="5"/>
        <v>0</v>
      </c>
      <c r="G40" s="119">
        <v>21932</v>
      </c>
      <c r="H40" s="120">
        <f t="shared" si="5"/>
        <v>1.3587868358786834</v>
      </c>
      <c r="I40" s="119">
        <v>20553</v>
      </c>
      <c r="J40" s="120">
        <f t="shared" si="5"/>
        <v>-6.2876162684661674E-2</v>
      </c>
      <c r="K40" s="119">
        <v>19337</v>
      </c>
      <c r="L40" s="120">
        <f t="shared" si="5"/>
        <v>-5.9164112295042037E-2</v>
      </c>
      <c r="M40" s="119"/>
      <c r="N40" s="120"/>
    </row>
    <row r="41" spans="2:15" x14ac:dyDescent="0.25">
      <c r="B41" s="118" t="s">
        <v>93</v>
      </c>
      <c r="C41" s="119">
        <v>8104</v>
      </c>
      <c r="D41" s="120">
        <v>-0.62628545077242337</v>
      </c>
      <c r="E41" s="119">
        <v>8104</v>
      </c>
      <c r="F41" s="120">
        <f t="shared" si="5"/>
        <v>0</v>
      </c>
      <c r="G41" s="119">
        <v>25251</v>
      </c>
      <c r="H41" s="120">
        <f t="shared" si="5"/>
        <v>2.115868706811451</v>
      </c>
      <c r="I41" s="119">
        <v>23667</v>
      </c>
      <c r="J41" s="120">
        <f t="shared" si="5"/>
        <v>-6.2730188903409756E-2</v>
      </c>
      <c r="K41" s="119">
        <v>25085</v>
      </c>
      <c r="L41" s="120">
        <f t="shared" si="5"/>
        <v>5.9914649089449545E-2</v>
      </c>
      <c r="M41" s="119"/>
      <c r="N41" s="120"/>
    </row>
    <row r="42" spans="2:15" x14ac:dyDescent="0.25">
      <c r="B42" s="118" t="s">
        <v>95</v>
      </c>
      <c r="C42" s="119">
        <v>6962</v>
      </c>
      <c r="D42" s="120">
        <v>-0.66725612961812364</v>
      </c>
      <c r="E42" s="119">
        <v>6962</v>
      </c>
      <c r="F42" s="120">
        <f t="shared" si="5"/>
        <v>0</v>
      </c>
      <c r="G42" s="119">
        <v>23965</v>
      </c>
      <c r="H42" s="120">
        <f t="shared" si="5"/>
        <v>2.4422579718471704</v>
      </c>
      <c r="I42" s="119">
        <v>20577</v>
      </c>
      <c r="J42" s="120">
        <f t="shared" si="5"/>
        <v>-0.14137283538493639</v>
      </c>
      <c r="K42" s="119">
        <v>24629</v>
      </c>
      <c r="L42" s="120">
        <f t="shared" si="5"/>
        <v>0.19691889002284113</v>
      </c>
      <c r="M42" s="119"/>
      <c r="N42" s="120"/>
    </row>
    <row r="43" spans="2:15" ht="15.75" x14ac:dyDescent="0.25">
      <c r="B43" s="121" t="s">
        <v>32</v>
      </c>
      <c r="C43" s="122">
        <v>103516</v>
      </c>
      <c r="D43" s="123">
        <v>-0.53035864165324509</v>
      </c>
      <c r="E43" s="122">
        <v>103516</v>
      </c>
      <c r="F43" s="123">
        <f t="shared" si="5"/>
        <v>0</v>
      </c>
      <c r="G43" s="122">
        <v>229131</v>
      </c>
      <c r="H43" s="123">
        <f t="shared" si="5"/>
        <v>1.2134839058696238</v>
      </c>
      <c r="I43" s="122">
        <v>239109</v>
      </c>
      <c r="J43" s="123">
        <f t="shared" si="5"/>
        <v>4.3547141155059865E-2</v>
      </c>
      <c r="K43" s="122">
        <v>250871</v>
      </c>
      <c r="L43" s="123">
        <f t="shared" si="5"/>
        <v>4.9190954752853289E-2</v>
      </c>
      <c r="M43" s="122">
        <v>140761</v>
      </c>
      <c r="N43" s="123">
        <v>0.12240650665816122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K46" s="81"/>
    </row>
    <row r="48" spans="2:15" ht="48.75" customHeight="1" thickBot="1" x14ac:dyDescent="0.3">
      <c r="B48" s="278" t="s">
        <v>251</v>
      </c>
      <c r="C48" s="278"/>
      <c r="D48" s="278"/>
      <c r="E48" s="278"/>
      <c r="F48" s="278"/>
      <c r="G48" s="278"/>
      <c r="H48" s="278"/>
      <c r="I48" s="278"/>
      <c r="J48" s="278"/>
      <c r="K48" s="278"/>
      <c r="L48" s="278"/>
      <c r="M48" s="278"/>
      <c r="N48" s="278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3" t="s">
        <v>63</v>
      </c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</row>
    <row r="51" spans="1:15" ht="22.5" thickTop="1" thickBot="1" x14ac:dyDescent="0.3">
      <c r="B51" s="111"/>
      <c r="C51" s="305">
        <f>$C$7</f>
        <v>2020</v>
      </c>
      <c r="D51" s="306"/>
      <c r="E51" s="307">
        <f>$C$7</f>
        <v>2020</v>
      </c>
      <c r="F51" s="306"/>
      <c r="G51" s="307">
        <v>2022</v>
      </c>
      <c r="H51" s="306"/>
      <c r="I51" s="307">
        <v>2023</v>
      </c>
      <c r="J51" s="306"/>
      <c r="K51" s="307">
        <v>2024</v>
      </c>
      <c r="L51" s="306"/>
      <c r="M51" s="307">
        <v>2025</v>
      </c>
      <c r="N51" s="308"/>
    </row>
    <row r="52" spans="1:15" ht="16.5" thickTop="1" thickBot="1" x14ac:dyDescent="0.3">
      <c r="B52" s="87"/>
      <c r="C52" s="115" t="s">
        <v>71</v>
      </c>
      <c r="D52" s="116" t="str">
        <f>CONCATENATE("var ",RIGHT(C51,2),"/",RIGHT(C51-1,2))</f>
        <v>var 20/19</v>
      </c>
      <c r="E52" s="117" t="s">
        <v>71</v>
      </c>
      <c r="F52" s="116" t="str">
        <f>CONCATENATE("var ",RIGHT(E51,2),"/",RIGHT(E51-1,2))</f>
        <v>var 20/19</v>
      </c>
      <c r="G52" s="117" t="s">
        <v>71</v>
      </c>
      <c r="H52" s="116" t="str">
        <f>CONCATENATE("var ",RIGHT(G51,2),"/",RIGHT(G51-1,2))</f>
        <v>var 22/21</v>
      </c>
      <c r="I52" s="117" t="s">
        <v>71</v>
      </c>
      <c r="J52" s="116" t="str">
        <f>CONCATENATE("var ",RIGHT(I51,2),"/",RIGHT(I51-1,2))</f>
        <v>var 23/22</v>
      </c>
      <c r="K52" s="117" t="s">
        <v>71</v>
      </c>
      <c r="L52" s="116" t="str">
        <f>CONCATENATE("var ",RIGHT(K51,2),"/",RIGHT(K51-1,2))</f>
        <v>var 24/23</v>
      </c>
      <c r="M52" s="117" t="s">
        <v>71</v>
      </c>
      <c r="N52" s="116" t="str">
        <f>CONCATENATE("var ",RIGHT(M51,2),"/",RIGHT(M51-1,2))</f>
        <v>var 25/24</v>
      </c>
    </row>
    <row r="53" spans="1:15" x14ac:dyDescent="0.25">
      <c r="A53" s="1">
        <v>1</v>
      </c>
      <c r="B53" s="118" t="s">
        <v>73</v>
      </c>
      <c r="C53" s="119">
        <v>9949</v>
      </c>
      <c r="D53" s="120">
        <v>-7.33047690014903E-2</v>
      </c>
      <c r="E53" s="119">
        <v>9949</v>
      </c>
      <c r="F53" s="120">
        <f t="shared" ref="F53:L65" si="7">IFERROR(E53/C53-1,"-")</f>
        <v>0</v>
      </c>
      <c r="G53" s="119">
        <v>8448</v>
      </c>
      <c r="H53" s="120">
        <f t="shared" si="7"/>
        <v>-0.15086943411398135</v>
      </c>
      <c r="I53" s="119">
        <v>14009</v>
      </c>
      <c r="J53" s="120">
        <f t="shared" si="7"/>
        <v>0.65826231060606055</v>
      </c>
      <c r="K53" s="119">
        <v>13713</v>
      </c>
      <c r="L53" s="120">
        <f t="shared" si="7"/>
        <v>-2.1129274038118373E-2</v>
      </c>
      <c r="M53" s="119">
        <v>15504</v>
      </c>
      <c r="N53" s="120">
        <f t="shared" ref="N53:N58" si="8">IFERROR(M53/K53-1,"-")</f>
        <v>0.13060599431196684</v>
      </c>
    </row>
    <row r="54" spans="1:15" x14ac:dyDescent="0.25">
      <c r="A54" s="1">
        <v>2</v>
      </c>
      <c r="B54" s="118" t="s">
        <v>75</v>
      </c>
      <c r="C54" s="119">
        <v>11543</v>
      </c>
      <c r="D54" s="120">
        <v>8.8551490003772271E-2</v>
      </c>
      <c r="E54" s="119">
        <v>11543</v>
      </c>
      <c r="F54" s="120">
        <f t="shared" si="7"/>
        <v>0</v>
      </c>
      <c r="G54" s="119">
        <v>10670</v>
      </c>
      <c r="H54" s="120">
        <f t="shared" si="7"/>
        <v>-7.5630252100840289E-2</v>
      </c>
      <c r="I54" s="119">
        <v>13831</v>
      </c>
      <c r="J54" s="120">
        <f t="shared" si="7"/>
        <v>0.29625117150890357</v>
      </c>
      <c r="K54" s="119">
        <v>13097</v>
      </c>
      <c r="L54" s="120">
        <f t="shared" si="7"/>
        <v>-5.3069192393897735E-2</v>
      </c>
      <c r="M54" s="119">
        <v>15698</v>
      </c>
      <c r="N54" s="120">
        <f t="shared" si="8"/>
        <v>0.19859509811407183</v>
      </c>
    </row>
    <row r="55" spans="1:15" x14ac:dyDescent="0.25">
      <c r="A55" s="1">
        <v>3</v>
      </c>
      <c r="B55" s="118" t="s">
        <v>77</v>
      </c>
      <c r="C55" s="119">
        <v>4800</v>
      </c>
      <c r="D55" s="120">
        <v>-0.58513396715643906</v>
      </c>
      <c r="E55" s="119">
        <v>4800</v>
      </c>
      <c r="F55" s="120">
        <f t="shared" si="7"/>
        <v>0</v>
      </c>
      <c r="G55" s="119">
        <v>12702</v>
      </c>
      <c r="H55" s="120">
        <f t="shared" si="7"/>
        <v>1.6462500000000002</v>
      </c>
      <c r="I55" s="119">
        <v>15155</v>
      </c>
      <c r="J55" s="120">
        <f t="shared" si="7"/>
        <v>0.19311919382774367</v>
      </c>
      <c r="K55" s="119">
        <v>13219</v>
      </c>
      <c r="L55" s="120">
        <f t="shared" si="7"/>
        <v>-0.1277466182777961</v>
      </c>
      <c r="M55" s="119">
        <v>17327</v>
      </c>
      <c r="N55" s="120">
        <f t="shared" si="8"/>
        <v>0.31076480823057717</v>
      </c>
    </row>
    <row r="56" spans="1:15" x14ac:dyDescent="0.25">
      <c r="A56" s="1">
        <v>4</v>
      </c>
      <c r="B56" s="118" t="s">
        <v>79</v>
      </c>
      <c r="C56" s="119">
        <v>0</v>
      </c>
      <c r="D56" s="120">
        <v>-1</v>
      </c>
      <c r="E56" s="119">
        <v>0</v>
      </c>
      <c r="F56" s="120" t="str">
        <f t="shared" si="7"/>
        <v>-</v>
      </c>
      <c r="G56" s="119">
        <v>11294</v>
      </c>
      <c r="H56" s="120" t="str">
        <f t="shared" si="7"/>
        <v>-</v>
      </c>
      <c r="I56" s="119">
        <v>11713</v>
      </c>
      <c r="J56" s="120">
        <f t="shared" si="7"/>
        <v>3.7099344784841559E-2</v>
      </c>
      <c r="K56" s="119">
        <v>11165</v>
      </c>
      <c r="L56" s="120">
        <f t="shared" si="7"/>
        <v>-4.6785622812259842E-2</v>
      </c>
      <c r="M56" s="119">
        <v>13392</v>
      </c>
      <c r="N56" s="120">
        <f t="shared" si="8"/>
        <v>0.19946260635915802</v>
      </c>
    </row>
    <row r="57" spans="1:15" x14ac:dyDescent="0.25">
      <c r="A57" s="1">
        <v>5</v>
      </c>
      <c r="B57" s="118" t="s">
        <v>81</v>
      </c>
      <c r="C57" s="119">
        <v>0</v>
      </c>
      <c r="D57" s="120">
        <v>-1</v>
      </c>
      <c r="E57" s="119">
        <v>0</v>
      </c>
      <c r="F57" s="120" t="str">
        <f t="shared" si="7"/>
        <v>-</v>
      </c>
      <c r="G57" s="119">
        <v>10870</v>
      </c>
      <c r="H57" s="120" t="str">
        <f t="shared" si="7"/>
        <v>-</v>
      </c>
      <c r="I57" s="119">
        <v>10695</v>
      </c>
      <c r="J57" s="120">
        <f t="shared" si="7"/>
        <v>-1.609935602575896E-2</v>
      </c>
      <c r="K57" s="119">
        <v>10226</v>
      </c>
      <c r="L57" s="120">
        <f t="shared" si="7"/>
        <v>-4.3852267414679735E-2</v>
      </c>
      <c r="M57" s="119">
        <v>15356</v>
      </c>
      <c r="N57" s="120">
        <f t="shared" si="8"/>
        <v>0.5016624291022882</v>
      </c>
    </row>
    <row r="58" spans="1:15" x14ac:dyDescent="0.25">
      <c r="A58" s="1">
        <v>6</v>
      </c>
      <c r="B58" s="118" t="s">
        <v>83</v>
      </c>
      <c r="C58" s="119">
        <v>0</v>
      </c>
      <c r="D58" s="120">
        <v>-1</v>
      </c>
      <c r="E58" s="119">
        <v>0</v>
      </c>
      <c r="F58" s="120" t="str">
        <f t="shared" si="7"/>
        <v>-</v>
      </c>
      <c r="G58" s="119">
        <v>10141</v>
      </c>
      <c r="H58" s="120" t="str">
        <f t="shared" si="7"/>
        <v>-</v>
      </c>
      <c r="I58" s="119">
        <v>10170</v>
      </c>
      <c r="J58" s="120">
        <f t="shared" si="7"/>
        <v>2.8596785326890917E-3</v>
      </c>
      <c r="K58" s="119">
        <v>11059</v>
      </c>
      <c r="L58" s="120">
        <f t="shared" si="7"/>
        <v>8.7413962635201514E-2</v>
      </c>
      <c r="M58" s="119">
        <v>14375</v>
      </c>
      <c r="N58" s="120">
        <f t="shared" si="8"/>
        <v>0.29984627904873862</v>
      </c>
    </row>
    <row r="59" spans="1:15" x14ac:dyDescent="0.25">
      <c r="A59" s="1">
        <v>7</v>
      </c>
      <c r="B59" s="118" t="s">
        <v>85</v>
      </c>
      <c r="C59" s="119">
        <v>0</v>
      </c>
      <c r="D59" s="120">
        <v>-1</v>
      </c>
      <c r="E59" s="119">
        <v>0</v>
      </c>
      <c r="F59" s="120" t="str">
        <f t="shared" si="7"/>
        <v>-</v>
      </c>
      <c r="G59" s="119">
        <v>10838</v>
      </c>
      <c r="H59" s="120" t="str">
        <f t="shared" si="7"/>
        <v>-</v>
      </c>
      <c r="I59" s="119">
        <v>10021</v>
      </c>
      <c r="J59" s="120">
        <f t="shared" si="7"/>
        <v>-7.5382911976379363E-2</v>
      </c>
      <c r="K59" s="119">
        <v>12572</v>
      </c>
      <c r="L59" s="120">
        <f t="shared" si="7"/>
        <v>0.25456541263346977</v>
      </c>
      <c r="M59" s="119"/>
      <c r="N59" s="120"/>
    </row>
    <row r="60" spans="1:15" x14ac:dyDescent="0.25">
      <c r="A60" s="1">
        <v>8</v>
      </c>
      <c r="B60" s="118" t="s">
        <v>87</v>
      </c>
      <c r="C60" s="119">
        <v>3541</v>
      </c>
      <c r="D60" s="120">
        <v>-0.46453954332375624</v>
      </c>
      <c r="E60" s="119">
        <v>3541</v>
      </c>
      <c r="F60" s="120">
        <f t="shared" si="7"/>
        <v>0</v>
      </c>
      <c r="G60" s="119">
        <v>8772</v>
      </c>
      <c r="H60" s="120">
        <f t="shared" si="7"/>
        <v>1.4772663089522733</v>
      </c>
      <c r="I60" s="119">
        <v>9451</v>
      </c>
      <c r="J60" s="120">
        <f t="shared" si="7"/>
        <v>7.7405380756953912E-2</v>
      </c>
      <c r="K60" s="119">
        <v>9290</v>
      </c>
      <c r="L60" s="120">
        <f t="shared" si="7"/>
        <v>-1.7035234366733709E-2</v>
      </c>
      <c r="M60" s="119"/>
      <c r="N60" s="120"/>
    </row>
    <row r="61" spans="1:15" x14ac:dyDescent="0.25">
      <c r="A61" s="1">
        <v>9</v>
      </c>
      <c r="B61" s="118" t="s">
        <v>89</v>
      </c>
      <c r="C61" s="119">
        <v>3927</v>
      </c>
      <c r="D61" s="120">
        <v>-0.49315952503871963</v>
      </c>
      <c r="E61" s="119">
        <v>3927</v>
      </c>
      <c r="F61" s="120">
        <f t="shared" si="7"/>
        <v>0</v>
      </c>
      <c r="G61" s="119">
        <v>11314</v>
      </c>
      <c r="H61" s="120">
        <f t="shared" si="7"/>
        <v>1.8810797046091166</v>
      </c>
      <c r="I61" s="119">
        <v>9475</v>
      </c>
      <c r="J61" s="120">
        <f t="shared" si="7"/>
        <v>-0.16254198338341874</v>
      </c>
      <c r="K61" s="119">
        <v>12468</v>
      </c>
      <c r="L61" s="120">
        <f t="shared" si="7"/>
        <v>0.31588390501319252</v>
      </c>
      <c r="M61" s="119"/>
      <c r="N61" s="120"/>
    </row>
    <row r="62" spans="1:15" x14ac:dyDescent="0.25">
      <c r="A62" s="1">
        <v>10</v>
      </c>
      <c r="B62" s="118" t="s">
        <v>91</v>
      </c>
      <c r="C62" s="119">
        <v>5005</v>
      </c>
      <c r="D62" s="120">
        <v>-0.45276623660616666</v>
      </c>
      <c r="E62" s="119">
        <v>5005</v>
      </c>
      <c r="F62" s="120">
        <f t="shared" si="7"/>
        <v>0</v>
      </c>
      <c r="G62" s="119">
        <v>12410</v>
      </c>
      <c r="H62" s="120">
        <f t="shared" si="7"/>
        <v>1.4795204795204797</v>
      </c>
      <c r="I62" s="119">
        <v>12972</v>
      </c>
      <c r="J62" s="120">
        <f t="shared" si="7"/>
        <v>4.5286059629331188E-2</v>
      </c>
      <c r="K62" s="119">
        <v>12954</v>
      </c>
      <c r="L62" s="120">
        <f t="shared" si="7"/>
        <v>-1.3876040703052483E-3</v>
      </c>
      <c r="M62" s="119"/>
      <c r="N62" s="120"/>
    </row>
    <row r="63" spans="1:15" x14ac:dyDescent="0.25">
      <c r="A63" s="1">
        <v>11</v>
      </c>
      <c r="B63" s="118" t="s">
        <v>93</v>
      </c>
      <c r="C63" s="119">
        <v>4492</v>
      </c>
      <c r="D63" s="120">
        <v>-0.60110114554657668</v>
      </c>
      <c r="E63" s="119">
        <v>4492</v>
      </c>
      <c r="F63" s="120">
        <f t="shared" si="7"/>
        <v>0</v>
      </c>
      <c r="G63" s="119">
        <v>14671</v>
      </c>
      <c r="H63" s="120">
        <f t="shared" si="7"/>
        <v>2.2660284951024043</v>
      </c>
      <c r="I63" s="119">
        <v>15154</v>
      </c>
      <c r="J63" s="120">
        <f t="shared" si="7"/>
        <v>3.2922091200327186E-2</v>
      </c>
      <c r="K63" s="119">
        <v>16047</v>
      </c>
      <c r="L63" s="120">
        <f t="shared" si="7"/>
        <v>5.8928335752936434E-2</v>
      </c>
      <c r="M63" s="119"/>
      <c r="N63" s="120"/>
    </row>
    <row r="64" spans="1:15" x14ac:dyDescent="0.25">
      <c r="A64" s="1">
        <v>12</v>
      </c>
      <c r="B64" s="118" t="s">
        <v>95</v>
      </c>
      <c r="C64" s="119">
        <v>3684</v>
      </c>
      <c r="D64" s="120">
        <v>-0.62686113643269525</v>
      </c>
      <c r="E64" s="119">
        <v>3684</v>
      </c>
      <c r="F64" s="120">
        <f t="shared" si="7"/>
        <v>0</v>
      </c>
      <c r="G64" s="119">
        <v>13567</v>
      </c>
      <c r="H64" s="120">
        <f t="shared" si="7"/>
        <v>2.6826818675352877</v>
      </c>
      <c r="I64" s="119">
        <v>12991</v>
      </c>
      <c r="J64" s="120">
        <f t="shared" si="7"/>
        <v>-4.2455959313039027E-2</v>
      </c>
      <c r="K64" s="119">
        <v>15417</v>
      </c>
      <c r="L64" s="120">
        <f t="shared" si="7"/>
        <v>0.18674466938649825</v>
      </c>
      <c r="M64" s="119"/>
      <c r="N64" s="120"/>
    </row>
    <row r="65" spans="1:15" ht="15.75" x14ac:dyDescent="0.25">
      <c r="B65" s="121" t="s">
        <v>32</v>
      </c>
      <c r="C65" s="122">
        <v>54788</v>
      </c>
      <c r="D65" s="123">
        <v>-0.50564839210307866</v>
      </c>
      <c r="E65" s="122">
        <v>54788</v>
      </c>
      <c r="F65" s="123">
        <f t="shared" si="7"/>
        <v>0</v>
      </c>
      <c r="G65" s="122">
        <v>135697</v>
      </c>
      <c r="H65" s="123">
        <f t="shared" si="7"/>
        <v>1.4767649850332187</v>
      </c>
      <c r="I65" s="122">
        <v>145637</v>
      </c>
      <c r="J65" s="123">
        <f t="shared" si="7"/>
        <v>7.3251435182796865E-2</v>
      </c>
      <c r="K65" s="122">
        <v>151227</v>
      </c>
      <c r="L65" s="123">
        <f t="shared" si="7"/>
        <v>3.8383103194929769E-2</v>
      </c>
      <c r="M65" s="122">
        <v>91652</v>
      </c>
      <c r="N65" s="123">
        <v>0.26453179541660332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78" t="s">
        <v>252</v>
      </c>
      <c r="C70" s="278"/>
      <c r="D70" s="278"/>
      <c r="E70" s="278"/>
      <c r="F70" s="278"/>
      <c r="G70" s="278"/>
      <c r="H70" s="278"/>
      <c r="I70" s="278"/>
      <c r="J70" s="278"/>
      <c r="K70" s="278"/>
      <c r="L70" s="278"/>
      <c r="M70" s="278"/>
      <c r="N70" s="278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3" t="s">
        <v>64</v>
      </c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</row>
    <row r="73" spans="1:15" ht="22.5" thickTop="1" thickBot="1" x14ac:dyDescent="0.3">
      <c r="B73" s="111"/>
      <c r="C73" s="305">
        <f>$C$7</f>
        <v>2020</v>
      </c>
      <c r="D73" s="306"/>
      <c r="E73" s="307">
        <f>$C$7</f>
        <v>2020</v>
      </c>
      <c r="F73" s="306"/>
      <c r="G73" s="307">
        <v>2022</v>
      </c>
      <c r="H73" s="306"/>
      <c r="I73" s="307">
        <v>2023</v>
      </c>
      <c r="J73" s="306"/>
      <c r="K73" s="307">
        <v>2024</v>
      </c>
      <c r="L73" s="306"/>
      <c r="M73" s="307">
        <v>2025</v>
      </c>
      <c r="N73" s="308"/>
    </row>
    <row r="74" spans="1:15" ht="16.5" thickTop="1" thickBot="1" x14ac:dyDescent="0.3">
      <c r="B74" s="87"/>
      <c r="C74" s="115" t="s">
        <v>71</v>
      </c>
      <c r="D74" s="116" t="str">
        <f>CONCATENATE("var ",RIGHT(C73,2),"/",RIGHT(C73-1,2))</f>
        <v>var 20/19</v>
      </c>
      <c r="E74" s="117" t="s">
        <v>71</v>
      </c>
      <c r="F74" s="116" t="str">
        <f>CONCATENATE("var ",RIGHT(E73,2),"/",RIGHT(E73-1,2))</f>
        <v>var 20/19</v>
      </c>
      <c r="G74" s="117" t="s">
        <v>71</v>
      </c>
      <c r="H74" s="116" t="str">
        <f>CONCATENATE("var ",RIGHT(G73,2),"/",RIGHT(G73-1,2))</f>
        <v>var 22/21</v>
      </c>
      <c r="I74" s="117" t="s">
        <v>71</v>
      </c>
      <c r="J74" s="116" t="str">
        <f>CONCATENATE("var ",RIGHT(I73,2),"/",RIGHT(I73-1,2))</f>
        <v>var 23/22</v>
      </c>
      <c r="K74" s="117" t="s">
        <v>71</v>
      </c>
      <c r="L74" s="116" t="str">
        <f>CONCATENATE("var ",RIGHT(K73,2),"/",RIGHT(K73-1,2))</f>
        <v>var 24/23</v>
      </c>
      <c r="M74" s="117" t="s">
        <v>71</v>
      </c>
      <c r="N74" s="116" t="str">
        <f>CONCATENATE("var ",RIGHT(M73,2),"/",RIGHT(M73-1,2))</f>
        <v>var 25/24</v>
      </c>
    </row>
    <row r="75" spans="1:15" x14ac:dyDescent="0.25">
      <c r="A75" s="1">
        <v>1</v>
      </c>
      <c r="B75" s="118" t="s">
        <v>73</v>
      </c>
      <c r="C75" s="119">
        <v>10604</v>
      </c>
      <c r="D75" s="120">
        <v>8.0167057145767551E-2</v>
      </c>
      <c r="E75" s="119">
        <v>10604</v>
      </c>
      <c r="F75" s="120">
        <f t="shared" ref="F75:L87" si="9">IFERROR(E75/C75-1,"-")</f>
        <v>0</v>
      </c>
      <c r="G75" s="119">
        <v>5698</v>
      </c>
      <c r="H75" s="120">
        <f t="shared" si="9"/>
        <v>-0.46265560165975106</v>
      </c>
      <c r="I75" s="119">
        <v>9600</v>
      </c>
      <c r="J75" s="120">
        <f t="shared" si="9"/>
        <v>0.68480168480168491</v>
      </c>
      <c r="K75" s="119">
        <v>10154</v>
      </c>
      <c r="L75" s="120">
        <f t="shared" si="9"/>
        <v>5.770833333333325E-2</v>
      </c>
      <c r="M75" s="119">
        <v>9098</v>
      </c>
      <c r="N75" s="120">
        <f t="shared" ref="N75:N80" si="10">IFERROR(M75/K75-1,"-")</f>
        <v>-0.10399842426629902</v>
      </c>
    </row>
    <row r="76" spans="1:15" x14ac:dyDescent="0.25">
      <c r="A76" s="1">
        <v>2</v>
      </c>
      <c r="B76" s="118" t="s">
        <v>75</v>
      </c>
      <c r="C76" s="119">
        <v>11821</v>
      </c>
      <c r="D76" s="120">
        <v>0.14489104116222751</v>
      </c>
      <c r="E76" s="119">
        <v>11821</v>
      </c>
      <c r="F76" s="120">
        <f t="shared" si="9"/>
        <v>0</v>
      </c>
      <c r="G76" s="119">
        <v>6389</v>
      </c>
      <c r="H76" s="120">
        <f t="shared" si="9"/>
        <v>-0.45952119110058376</v>
      </c>
      <c r="I76" s="119">
        <v>8944</v>
      </c>
      <c r="J76" s="120">
        <f t="shared" si="9"/>
        <v>0.39990608858976362</v>
      </c>
      <c r="K76" s="119">
        <v>9528</v>
      </c>
      <c r="L76" s="120">
        <f t="shared" si="9"/>
        <v>6.5295169946332665E-2</v>
      </c>
      <c r="M76" s="119">
        <v>9228</v>
      </c>
      <c r="N76" s="120">
        <f t="shared" si="10"/>
        <v>-3.1486146095717871E-2</v>
      </c>
    </row>
    <row r="77" spans="1:15" x14ac:dyDescent="0.25">
      <c r="A77" s="1">
        <v>3</v>
      </c>
      <c r="B77" s="118" t="s">
        <v>77</v>
      </c>
      <c r="C77" s="119">
        <v>4136</v>
      </c>
      <c r="D77" s="120">
        <v>-0.59486727397394457</v>
      </c>
      <c r="E77" s="119">
        <v>4136</v>
      </c>
      <c r="F77" s="120">
        <f t="shared" si="9"/>
        <v>0</v>
      </c>
      <c r="G77" s="119">
        <v>7352</v>
      </c>
      <c r="H77" s="120">
        <f t="shared" si="9"/>
        <v>0.77756286266924568</v>
      </c>
      <c r="I77" s="119">
        <v>10019</v>
      </c>
      <c r="J77" s="120">
        <f t="shared" si="9"/>
        <v>0.36275843307943423</v>
      </c>
      <c r="K77" s="119">
        <v>9752</v>
      </c>
      <c r="L77" s="120">
        <f t="shared" si="9"/>
        <v>-2.6649366204211988E-2</v>
      </c>
      <c r="M77" s="119">
        <v>9556</v>
      </c>
      <c r="N77" s="120">
        <f t="shared" si="10"/>
        <v>-2.0098441345365092E-2</v>
      </c>
    </row>
    <row r="78" spans="1:15" x14ac:dyDescent="0.25">
      <c r="A78" s="1">
        <v>4</v>
      </c>
      <c r="B78" s="118" t="s">
        <v>79</v>
      </c>
      <c r="C78" s="119">
        <v>0</v>
      </c>
      <c r="D78" s="120">
        <v>-1</v>
      </c>
      <c r="E78" s="119">
        <v>0</v>
      </c>
      <c r="F78" s="120" t="str">
        <f t="shared" si="9"/>
        <v>-</v>
      </c>
      <c r="G78" s="119">
        <v>6046</v>
      </c>
      <c r="H78" s="120" t="str">
        <f t="shared" si="9"/>
        <v>-</v>
      </c>
      <c r="I78" s="119">
        <v>7441</v>
      </c>
      <c r="J78" s="120">
        <f t="shared" si="9"/>
        <v>0.23073106185908032</v>
      </c>
      <c r="K78" s="119">
        <v>7864</v>
      </c>
      <c r="L78" s="120">
        <f t="shared" si="9"/>
        <v>5.6847197957263784E-2</v>
      </c>
      <c r="M78" s="119">
        <v>7465</v>
      </c>
      <c r="N78" s="120">
        <f t="shared" si="10"/>
        <v>-5.0737538148524886E-2</v>
      </c>
    </row>
    <row r="79" spans="1:15" x14ac:dyDescent="0.25">
      <c r="A79" s="1">
        <v>5</v>
      </c>
      <c r="B79" s="118" t="s">
        <v>81</v>
      </c>
      <c r="C79" s="119">
        <v>0</v>
      </c>
      <c r="D79" s="120">
        <v>-1</v>
      </c>
      <c r="E79" s="119">
        <v>0</v>
      </c>
      <c r="F79" s="120" t="str">
        <f t="shared" si="9"/>
        <v>-</v>
      </c>
      <c r="G79" s="119">
        <v>7344</v>
      </c>
      <c r="H79" s="120" t="str">
        <f t="shared" si="9"/>
        <v>-</v>
      </c>
      <c r="I79" s="119">
        <v>7186</v>
      </c>
      <c r="J79" s="120">
        <f t="shared" si="9"/>
        <v>-2.1514161220043571E-2</v>
      </c>
      <c r="K79" s="119">
        <v>7213</v>
      </c>
      <c r="L79" s="120">
        <f t="shared" si="9"/>
        <v>3.7573058725299813E-3</v>
      </c>
      <c r="M79" s="119">
        <v>7264</v>
      </c>
      <c r="N79" s="120">
        <f t="shared" si="10"/>
        <v>7.0705670317481317E-3</v>
      </c>
    </row>
    <row r="80" spans="1:15" x14ac:dyDescent="0.25">
      <c r="A80" s="1">
        <v>6</v>
      </c>
      <c r="B80" s="118" t="s">
        <v>83</v>
      </c>
      <c r="C80" s="119">
        <v>0</v>
      </c>
      <c r="D80" s="120">
        <v>-1</v>
      </c>
      <c r="E80" s="119">
        <v>0</v>
      </c>
      <c r="F80" s="120" t="str">
        <f t="shared" si="9"/>
        <v>-</v>
      </c>
      <c r="G80" s="119">
        <v>7467</v>
      </c>
      <c r="H80" s="120" t="str">
        <f t="shared" si="9"/>
        <v>-</v>
      </c>
      <c r="I80" s="119">
        <v>7813</v>
      </c>
      <c r="J80" s="120">
        <f t="shared" si="9"/>
        <v>4.6337217088522786E-2</v>
      </c>
      <c r="K80" s="119">
        <v>8420</v>
      </c>
      <c r="L80" s="120">
        <f t="shared" si="9"/>
        <v>7.7691027774222432E-2</v>
      </c>
      <c r="M80" s="119">
        <v>6498</v>
      </c>
      <c r="N80" s="120">
        <f t="shared" si="10"/>
        <v>-0.22826603325415673</v>
      </c>
    </row>
    <row r="81" spans="1:14" x14ac:dyDescent="0.25">
      <c r="A81" s="1">
        <v>7</v>
      </c>
      <c r="B81" s="118" t="s">
        <v>85</v>
      </c>
      <c r="C81" s="119">
        <v>0</v>
      </c>
      <c r="D81" s="120">
        <v>-1</v>
      </c>
      <c r="E81" s="119">
        <v>0</v>
      </c>
      <c r="F81" s="120" t="str">
        <f t="shared" si="9"/>
        <v>-</v>
      </c>
      <c r="G81" s="119">
        <v>7245</v>
      </c>
      <c r="H81" s="120" t="str">
        <f t="shared" si="9"/>
        <v>-</v>
      </c>
      <c r="I81" s="119">
        <v>6789</v>
      </c>
      <c r="J81" s="120">
        <f t="shared" si="9"/>
        <v>-6.2939958592132528E-2</v>
      </c>
      <c r="K81" s="119">
        <v>9060</v>
      </c>
      <c r="L81" s="120">
        <f t="shared" si="9"/>
        <v>0.33451171011931069</v>
      </c>
      <c r="M81" s="119"/>
      <c r="N81" s="120"/>
    </row>
    <row r="82" spans="1:14" x14ac:dyDescent="0.25">
      <c r="A82" s="1">
        <v>8</v>
      </c>
      <c r="B82" s="118" t="s">
        <v>87</v>
      </c>
      <c r="C82" s="119">
        <v>3235</v>
      </c>
      <c r="D82" s="120">
        <v>-0.54944289693593307</v>
      </c>
      <c r="E82" s="119">
        <v>3235</v>
      </c>
      <c r="F82" s="120">
        <f t="shared" si="9"/>
        <v>0</v>
      </c>
      <c r="G82" s="119">
        <v>6748</v>
      </c>
      <c r="H82" s="120">
        <f t="shared" si="9"/>
        <v>1.0859350850077281</v>
      </c>
      <c r="I82" s="119">
        <v>5542</v>
      </c>
      <c r="J82" s="120">
        <f t="shared" si="9"/>
        <v>-0.17871962062833435</v>
      </c>
      <c r="K82" s="119">
        <v>5911</v>
      </c>
      <c r="L82" s="120">
        <f t="shared" si="9"/>
        <v>6.6582461205340948E-2</v>
      </c>
      <c r="M82" s="119"/>
      <c r="N82" s="120"/>
    </row>
    <row r="83" spans="1:14" x14ac:dyDescent="0.25">
      <c r="A83" s="1">
        <v>9</v>
      </c>
      <c r="B83" s="118" t="s">
        <v>89</v>
      </c>
      <c r="C83" s="119">
        <v>3496</v>
      </c>
      <c r="D83" s="120">
        <v>-0.57593401261523525</v>
      </c>
      <c r="E83" s="119">
        <v>3496</v>
      </c>
      <c r="F83" s="120">
        <f t="shared" si="9"/>
        <v>0</v>
      </c>
      <c r="G83" s="119">
        <v>8645</v>
      </c>
      <c r="H83" s="120">
        <f t="shared" si="9"/>
        <v>1.472826086956522</v>
      </c>
      <c r="I83" s="119">
        <v>6458</v>
      </c>
      <c r="J83" s="120">
        <f t="shared" si="9"/>
        <v>-0.25297860034702135</v>
      </c>
      <c r="K83" s="119">
        <v>7109</v>
      </c>
      <c r="L83" s="120">
        <f t="shared" si="9"/>
        <v>0.10080520284917927</v>
      </c>
      <c r="M83" s="119"/>
      <c r="N83" s="120"/>
    </row>
    <row r="84" spans="1:14" x14ac:dyDescent="0.25">
      <c r="A84" s="1">
        <v>10</v>
      </c>
      <c r="B84" s="118" t="s">
        <v>91</v>
      </c>
      <c r="C84" s="119">
        <v>4293</v>
      </c>
      <c r="D84" s="120">
        <v>-0.54957507082152968</v>
      </c>
      <c r="E84" s="119">
        <v>4293</v>
      </c>
      <c r="F84" s="120">
        <f t="shared" si="9"/>
        <v>0</v>
      </c>
      <c r="G84" s="119">
        <v>9522</v>
      </c>
      <c r="H84" s="120">
        <f t="shared" si="9"/>
        <v>1.2180293501048216</v>
      </c>
      <c r="I84" s="119">
        <v>7581</v>
      </c>
      <c r="J84" s="120">
        <f t="shared" si="9"/>
        <v>-0.20384373030875869</v>
      </c>
      <c r="K84" s="119">
        <v>6383</v>
      </c>
      <c r="L84" s="120">
        <f t="shared" si="9"/>
        <v>-0.15802664556127155</v>
      </c>
      <c r="M84" s="119"/>
      <c r="N84" s="120"/>
    </row>
    <row r="85" spans="1:14" x14ac:dyDescent="0.25">
      <c r="A85" s="1">
        <v>11</v>
      </c>
      <c r="B85" s="118" t="s">
        <v>93</v>
      </c>
      <c r="C85" s="119">
        <v>3612</v>
      </c>
      <c r="D85" s="120">
        <v>-0.65349194167306224</v>
      </c>
      <c r="E85" s="119">
        <v>3612</v>
      </c>
      <c r="F85" s="120">
        <f t="shared" si="9"/>
        <v>0</v>
      </c>
      <c r="G85" s="119">
        <v>10580</v>
      </c>
      <c r="H85" s="120">
        <f t="shared" si="9"/>
        <v>1.9291251384274641</v>
      </c>
      <c r="I85" s="119">
        <v>8513</v>
      </c>
      <c r="J85" s="120">
        <f t="shared" si="9"/>
        <v>-0.19536862003780719</v>
      </c>
      <c r="K85" s="119">
        <v>9038</v>
      </c>
      <c r="L85" s="120">
        <f t="shared" si="9"/>
        <v>6.1670386467755245E-2</v>
      </c>
      <c r="M85" s="119"/>
      <c r="N85" s="120"/>
    </row>
    <row r="86" spans="1:14" x14ac:dyDescent="0.25">
      <c r="A86" s="1">
        <v>12</v>
      </c>
      <c r="B86" s="118" t="s">
        <v>95</v>
      </c>
      <c r="C86" s="119">
        <v>3278</v>
      </c>
      <c r="D86" s="120">
        <v>-0.70334841628959277</v>
      </c>
      <c r="E86" s="119">
        <v>3278</v>
      </c>
      <c r="F86" s="120">
        <f t="shared" si="9"/>
        <v>0</v>
      </c>
      <c r="G86" s="119">
        <v>10398</v>
      </c>
      <c r="H86" s="120">
        <f t="shared" si="9"/>
        <v>2.1720561317876754</v>
      </c>
      <c r="I86" s="119">
        <v>7586</v>
      </c>
      <c r="J86" s="120">
        <f t="shared" si="9"/>
        <v>-0.27043662242738986</v>
      </c>
      <c r="K86" s="119">
        <v>9212</v>
      </c>
      <c r="L86" s="120">
        <f t="shared" si="9"/>
        <v>0.21434220933298187</v>
      </c>
      <c r="M86" s="119"/>
      <c r="N86" s="120"/>
    </row>
    <row r="87" spans="1:14" ht="15.75" x14ac:dyDescent="0.25">
      <c r="B87" s="121" t="s">
        <v>32</v>
      </c>
      <c r="C87" s="122">
        <v>48728</v>
      </c>
      <c r="D87" s="123">
        <v>-0.55534871836987965</v>
      </c>
      <c r="E87" s="122">
        <v>48728</v>
      </c>
      <c r="F87" s="123">
        <f t="shared" si="9"/>
        <v>0</v>
      </c>
      <c r="G87" s="122">
        <v>93434</v>
      </c>
      <c r="H87" s="123">
        <f t="shared" si="9"/>
        <v>0.91746018716138567</v>
      </c>
      <c r="I87" s="122">
        <v>93472</v>
      </c>
      <c r="J87" s="123">
        <f t="shared" si="9"/>
        <v>4.0670419761545951E-4</v>
      </c>
      <c r="K87" s="122">
        <v>99644</v>
      </c>
      <c r="L87" s="123">
        <f t="shared" si="9"/>
        <v>6.6030469017459792E-2</v>
      </c>
      <c r="M87" s="122">
        <v>49109</v>
      </c>
      <c r="N87" s="123">
        <v>-7.2207213164308226E-2</v>
      </c>
    </row>
    <row r="88" spans="1:14" ht="6" customHeight="1" x14ac:dyDescent="0.25"/>
    <row r="89" spans="1:14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</sheetData>
  <mergeCells count="32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37DB4A-64B6-4808-B7E9-FD2945AFCB68}">
  <sheetPr>
    <tabColor theme="7" tint="0.79998168889431442"/>
  </sheetPr>
  <dimension ref="A4:E93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8" t="s">
        <v>253</v>
      </c>
      <c r="C4" s="278"/>
      <c r="D4" s="278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3" t="s">
        <v>134</v>
      </c>
      <c r="D6" s="304"/>
    </row>
    <row r="7" spans="1:5" ht="16.5" thickTop="1" thickBot="1" x14ac:dyDescent="0.3">
      <c r="B7" s="87"/>
      <c r="C7" s="115" t="s">
        <v>140</v>
      </c>
      <c r="D7" s="116" t="s">
        <v>141</v>
      </c>
    </row>
    <row r="8" spans="1:5" x14ac:dyDescent="0.25">
      <c r="A8" s="1" t="s">
        <v>72</v>
      </c>
      <c r="B8" s="118">
        <v>2024</v>
      </c>
      <c r="C8" s="119">
        <v>250871</v>
      </c>
      <c r="D8" s="120">
        <f t="shared" ref="D8:D10" si="0">C8/C9-1</f>
        <v>4.9190954752853289E-2</v>
      </c>
    </row>
    <row r="9" spans="1:5" x14ac:dyDescent="0.25">
      <c r="A9" s="1"/>
      <c r="B9" s="118">
        <v>2023</v>
      </c>
      <c r="C9" s="119">
        <v>239109</v>
      </c>
      <c r="D9" s="120">
        <f t="shared" si="0"/>
        <v>4.3547141155059865E-2</v>
      </c>
    </row>
    <row r="10" spans="1:5" x14ac:dyDescent="0.25">
      <c r="A10" s="1"/>
      <c r="B10" s="118">
        <v>2022</v>
      </c>
      <c r="C10" s="119">
        <v>229131</v>
      </c>
      <c r="D10" s="120">
        <f t="shared" si="0"/>
        <v>0.39494575606667559</v>
      </c>
    </row>
    <row r="11" spans="1:5" x14ac:dyDescent="0.25">
      <c r="A11" s="1"/>
      <c r="B11" s="118">
        <v>2021</v>
      </c>
      <c r="C11" s="119">
        <v>164258</v>
      </c>
      <c r="D11" s="120">
        <f>C11/C12-1</f>
        <v>0.58678851578499946</v>
      </c>
    </row>
    <row r="12" spans="1:5" x14ac:dyDescent="0.25">
      <c r="A12" s="1" t="s">
        <v>74</v>
      </c>
      <c r="B12" s="118">
        <v>2020</v>
      </c>
      <c r="C12" s="119">
        <v>103516</v>
      </c>
      <c r="D12" s="120">
        <f t="shared" ref="D12:D21" si="1">C12/C13-1</f>
        <v>-0.53035864165324509</v>
      </c>
    </row>
    <row r="13" spans="1:5" x14ac:dyDescent="0.25">
      <c r="A13" s="1" t="s">
        <v>76</v>
      </c>
      <c r="B13" s="118">
        <v>2019</v>
      </c>
      <c r="C13" s="119">
        <v>220415</v>
      </c>
      <c r="D13" s="120">
        <f t="shared" si="1"/>
        <v>-5.1199049541774122E-2</v>
      </c>
    </row>
    <row r="14" spans="1:5" x14ac:dyDescent="0.25">
      <c r="A14" s="1" t="s">
        <v>78</v>
      </c>
      <c r="B14" s="118">
        <v>2018</v>
      </c>
      <c r="C14" s="119">
        <v>232309</v>
      </c>
      <c r="D14" s="120">
        <f t="shared" si="1"/>
        <v>-0.10533734369042713</v>
      </c>
    </row>
    <row r="15" spans="1:5" x14ac:dyDescent="0.25">
      <c r="A15" s="1" t="s">
        <v>80</v>
      </c>
      <c r="B15" s="118">
        <v>2017</v>
      </c>
      <c r="C15" s="119">
        <v>259661</v>
      </c>
      <c r="D15" s="120">
        <f>C15/C16-1</f>
        <v>2.72375541981833E-2</v>
      </c>
    </row>
    <row r="16" spans="1:5" x14ac:dyDescent="0.25">
      <c r="A16" s="1" t="s">
        <v>82</v>
      </c>
      <c r="B16" s="118">
        <v>2016</v>
      </c>
      <c r="C16" s="119">
        <v>252776</v>
      </c>
      <c r="D16" s="120">
        <f>C16/C17-1</f>
        <v>9.7770809899983879E-2</v>
      </c>
    </row>
    <row r="17" spans="1:5" x14ac:dyDescent="0.25">
      <c r="A17" s="1" t="s">
        <v>84</v>
      </c>
      <c r="B17" s="118">
        <v>2015</v>
      </c>
      <c r="C17" s="119">
        <v>230263</v>
      </c>
      <c r="D17" s="120">
        <f t="shared" si="1"/>
        <v>0.1334127456819536</v>
      </c>
    </row>
    <row r="18" spans="1:5" x14ac:dyDescent="0.25">
      <c r="A18" s="1" t="s">
        <v>86</v>
      </c>
      <c r="B18" s="118">
        <v>2014</v>
      </c>
      <c r="C18" s="119">
        <v>203159</v>
      </c>
      <c r="D18" s="120">
        <f t="shared" si="1"/>
        <v>0.13291583948606989</v>
      </c>
    </row>
    <row r="19" spans="1:5" x14ac:dyDescent="0.25">
      <c r="A19" s="1" t="s">
        <v>88</v>
      </c>
      <c r="B19" s="118">
        <v>2013</v>
      </c>
      <c r="C19" s="119">
        <v>179324</v>
      </c>
      <c r="D19" s="120">
        <f t="shared" si="1"/>
        <v>9.5175277879565146E-2</v>
      </c>
    </row>
    <row r="20" spans="1:5" x14ac:dyDescent="0.25">
      <c r="A20" s="1" t="s">
        <v>90</v>
      </c>
      <c r="B20" s="118">
        <v>2012</v>
      </c>
      <c r="C20" s="119">
        <v>163740</v>
      </c>
      <c r="D20" s="120">
        <f>C20/C21-1</f>
        <v>-1.9679453022565241E-2</v>
      </c>
    </row>
    <row r="21" spans="1:5" x14ac:dyDescent="0.25">
      <c r="A21" s="1" t="s">
        <v>92</v>
      </c>
      <c r="B21" s="118">
        <v>2011</v>
      </c>
      <c r="C21" s="119">
        <v>167027</v>
      </c>
      <c r="D21" s="120">
        <f t="shared" si="1"/>
        <v>-5.804228537268985E-2</v>
      </c>
    </row>
    <row r="22" spans="1:5" x14ac:dyDescent="0.25">
      <c r="A22" s="1" t="s">
        <v>94</v>
      </c>
      <c r="B22" s="118">
        <v>2010</v>
      </c>
      <c r="C22" s="119">
        <v>177319</v>
      </c>
      <c r="D22" s="120"/>
    </row>
    <row r="23" spans="1:5" ht="6" customHeight="1" x14ac:dyDescent="0.25"/>
    <row r="24" spans="1:5" x14ac:dyDescent="0.25">
      <c r="B24" s="107" t="s">
        <v>57</v>
      </c>
      <c r="C24" s="107"/>
      <c r="D24" s="107"/>
    </row>
    <row r="27" spans="1:5" ht="48.75" customHeight="1" thickBot="1" x14ac:dyDescent="0.3">
      <c r="B27" s="278" t="s">
        <v>254</v>
      </c>
      <c r="C27" s="278"/>
      <c r="D27" s="278"/>
      <c r="E27" s="1" t="s">
        <v>96</v>
      </c>
    </row>
    <row r="28" spans="1:5" ht="10.5" customHeight="1" thickBot="1" x14ac:dyDescent="0.3">
      <c r="B28" s="108"/>
      <c r="C28" s="109"/>
      <c r="D28" s="108"/>
      <c r="E28" s="1" t="s">
        <v>97</v>
      </c>
    </row>
    <row r="29" spans="1:5" ht="22.5" thickTop="1" thickBot="1" x14ac:dyDescent="0.3">
      <c r="B29" s="125" t="s">
        <v>98</v>
      </c>
      <c r="C29" s="303" t="s">
        <v>139</v>
      </c>
      <c r="D29" s="304"/>
    </row>
    <row r="30" spans="1:5" ht="16.5" thickTop="1" thickBot="1" x14ac:dyDescent="0.3">
      <c r="B30" s="87"/>
      <c r="C30" s="115" t="s">
        <v>140</v>
      </c>
      <c r="D30" s="116" t="s">
        <v>141</v>
      </c>
    </row>
    <row r="31" spans="1:5" x14ac:dyDescent="0.25">
      <c r="B31" s="118">
        <v>2024</v>
      </c>
      <c r="C31" s="119">
        <v>250871</v>
      </c>
      <c r="D31" s="120">
        <f t="shared" ref="D31:D44" si="2">C31/C32-1</f>
        <v>4.9190954752853289E-2</v>
      </c>
    </row>
    <row r="32" spans="1:5" x14ac:dyDescent="0.25">
      <c r="B32" s="118">
        <v>2023</v>
      </c>
      <c r="C32" s="119">
        <v>239109</v>
      </c>
      <c r="D32" s="120">
        <f t="shared" si="2"/>
        <v>4.3547141155059865E-2</v>
      </c>
    </row>
    <row r="33" spans="2:4" x14ac:dyDescent="0.25">
      <c r="B33" s="118">
        <v>2022</v>
      </c>
      <c r="C33" s="119">
        <v>229131</v>
      </c>
      <c r="D33" s="120">
        <f t="shared" si="2"/>
        <v>0.39494575606667559</v>
      </c>
    </row>
    <row r="34" spans="2:4" x14ac:dyDescent="0.25">
      <c r="B34" s="118">
        <v>2021</v>
      </c>
      <c r="C34" s="119">
        <v>164258</v>
      </c>
      <c r="D34" s="120">
        <f t="shared" si="2"/>
        <v>0.58678851578499946</v>
      </c>
    </row>
    <row r="35" spans="2:4" x14ac:dyDescent="0.25">
      <c r="B35" s="118">
        <v>2020</v>
      </c>
      <c r="C35" s="119">
        <v>103516</v>
      </c>
      <c r="D35" s="120">
        <f t="shared" si="2"/>
        <v>-0.53035864165324509</v>
      </c>
    </row>
    <row r="36" spans="2:4" x14ac:dyDescent="0.25">
      <c r="B36" s="118">
        <v>2019</v>
      </c>
      <c r="C36" s="119">
        <v>220415</v>
      </c>
      <c r="D36" s="120">
        <f t="shared" si="2"/>
        <v>-5.1199049541774122E-2</v>
      </c>
    </row>
    <row r="37" spans="2:4" x14ac:dyDescent="0.25">
      <c r="B37" s="118">
        <v>2018</v>
      </c>
      <c r="C37" s="119">
        <v>232309</v>
      </c>
      <c r="D37" s="120">
        <f t="shared" si="2"/>
        <v>-0.10533734369042713</v>
      </c>
    </row>
    <row r="38" spans="2:4" x14ac:dyDescent="0.25">
      <c r="B38" s="118">
        <v>2017</v>
      </c>
      <c r="C38" s="119">
        <v>259661</v>
      </c>
      <c r="D38" s="120">
        <f>C38/C39-1</f>
        <v>2.72375541981833E-2</v>
      </c>
    </row>
    <row r="39" spans="2:4" x14ac:dyDescent="0.25">
      <c r="B39" s="118">
        <v>2016</v>
      </c>
      <c r="C39" s="119">
        <v>252776</v>
      </c>
      <c r="D39" s="120">
        <f>C39/C40-1</f>
        <v>9.7770809899983879E-2</v>
      </c>
    </row>
    <row r="40" spans="2:4" x14ac:dyDescent="0.25">
      <c r="B40" s="118">
        <v>2015</v>
      </c>
      <c r="C40" s="119">
        <v>230263</v>
      </c>
      <c r="D40" s="120">
        <f t="shared" si="2"/>
        <v>0.1334127456819536</v>
      </c>
    </row>
    <row r="41" spans="2:4" x14ac:dyDescent="0.25">
      <c r="B41" s="118">
        <v>2014</v>
      </c>
      <c r="C41" s="119">
        <v>203159</v>
      </c>
      <c r="D41" s="120">
        <f t="shared" si="2"/>
        <v>0.13291583948606989</v>
      </c>
    </row>
    <row r="42" spans="2:4" x14ac:dyDescent="0.25">
      <c r="B42" s="118">
        <v>2013</v>
      </c>
      <c r="C42" s="119">
        <v>179324</v>
      </c>
      <c r="D42" s="120">
        <f t="shared" si="2"/>
        <v>9.5175277879565146E-2</v>
      </c>
    </row>
    <row r="43" spans="2:4" x14ac:dyDescent="0.25">
      <c r="B43" s="118">
        <v>2012</v>
      </c>
      <c r="C43" s="119">
        <v>163740</v>
      </c>
      <c r="D43" s="120">
        <f>C43/C44-1</f>
        <v>-1.9679453022565241E-2</v>
      </c>
    </row>
    <row r="44" spans="2:4" x14ac:dyDescent="0.25">
      <c r="B44" s="118">
        <v>2011</v>
      </c>
      <c r="C44" s="119">
        <v>167027</v>
      </c>
      <c r="D44" s="120">
        <f t="shared" si="2"/>
        <v>-5.804228537268985E-2</v>
      </c>
    </row>
    <row r="45" spans="2:4" x14ac:dyDescent="0.25">
      <c r="B45" s="118">
        <v>2010</v>
      </c>
      <c r="C45" s="119">
        <v>177319</v>
      </c>
      <c r="D45" s="120"/>
    </row>
    <row r="46" spans="2:4" ht="6" customHeight="1" x14ac:dyDescent="0.25"/>
    <row r="47" spans="2:4" x14ac:dyDescent="0.25">
      <c r="B47" s="107" t="s">
        <v>57</v>
      </c>
      <c r="C47" s="107"/>
      <c r="D47" s="107"/>
    </row>
    <row r="50" spans="1:5" ht="48.75" customHeight="1" thickBot="1" x14ac:dyDescent="0.3">
      <c r="B50" s="278" t="s">
        <v>255</v>
      </c>
      <c r="C50" s="278"/>
      <c r="D50" s="278"/>
      <c r="E50" s="1" t="s">
        <v>100</v>
      </c>
    </row>
    <row r="51" spans="1:5" ht="10.5" customHeight="1" thickBot="1" x14ac:dyDescent="0.3">
      <c r="B51" s="108"/>
      <c r="C51" s="109"/>
      <c r="D51" s="108"/>
      <c r="E51" s="1" t="s">
        <v>101</v>
      </c>
    </row>
    <row r="52" spans="1:5" ht="22.5" thickTop="1" thickBot="1" x14ac:dyDescent="0.3">
      <c r="B52" s="111"/>
      <c r="C52" s="303" t="s">
        <v>142</v>
      </c>
      <c r="D52" s="304"/>
    </row>
    <row r="53" spans="1:5" ht="16.5" thickTop="1" thickBot="1" x14ac:dyDescent="0.3">
      <c r="B53" s="87"/>
      <c r="C53" s="115" t="s">
        <v>140</v>
      </c>
      <c r="D53" s="116" t="s">
        <v>141</v>
      </c>
    </row>
    <row r="54" spans="1:5" x14ac:dyDescent="0.25">
      <c r="A54" s="1">
        <v>1</v>
      </c>
      <c r="B54" s="118">
        <v>2024</v>
      </c>
      <c r="C54" s="119">
        <v>151227</v>
      </c>
      <c r="D54" s="120">
        <f t="shared" ref="D54:D56" si="3">C54/C55-1</f>
        <v>3.8383103194929769E-2</v>
      </c>
    </row>
    <row r="55" spans="1:5" x14ac:dyDescent="0.25">
      <c r="A55" s="1"/>
      <c r="B55" s="118">
        <v>2023</v>
      </c>
      <c r="C55" s="119">
        <v>145637</v>
      </c>
      <c r="D55" s="120">
        <f t="shared" si="3"/>
        <v>7.3251435182796865E-2</v>
      </c>
    </row>
    <row r="56" spans="1:5" x14ac:dyDescent="0.25">
      <c r="A56" s="1"/>
      <c r="B56" s="118">
        <v>2022</v>
      </c>
      <c r="C56" s="119">
        <v>135697</v>
      </c>
      <c r="D56" s="120">
        <f t="shared" si="3"/>
        <v>0.31816327323593407</v>
      </c>
    </row>
    <row r="57" spans="1:5" x14ac:dyDescent="0.25">
      <c r="A57" s="1"/>
      <c r="B57" s="118">
        <v>2021</v>
      </c>
      <c r="C57" s="119">
        <v>102944</v>
      </c>
      <c r="D57" s="120">
        <f>C57/C58-1</f>
        <v>0.87895159523983346</v>
      </c>
    </row>
    <row r="58" spans="1:5" x14ac:dyDescent="0.25">
      <c r="A58" s="1">
        <v>2</v>
      </c>
      <c r="B58" s="118">
        <v>2020</v>
      </c>
      <c r="C58" s="119">
        <v>54788</v>
      </c>
      <c r="D58" s="120">
        <f t="shared" ref="D58:D67" si="4">C58/C59-1</f>
        <v>-0.50564839210307866</v>
      </c>
    </row>
    <row r="59" spans="1:5" x14ac:dyDescent="0.25">
      <c r="A59" s="1">
        <v>3</v>
      </c>
      <c r="B59" s="118">
        <v>2019</v>
      </c>
      <c r="C59" s="119">
        <v>110828</v>
      </c>
      <c r="D59" s="120">
        <f t="shared" si="4"/>
        <v>-3.9610395237393736E-2</v>
      </c>
    </row>
    <row r="60" spans="1:5" x14ac:dyDescent="0.25">
      <c r="A60" s="1">
        <v>4</v>
      </c>
      <c r="B60" s="118">
        <v>2018</v>
      </c>
      <c r="C60" s="119">
        <v>115399</v>
      </c>
      <c r="D60" s="120">
        <f t="shared" si="4"/>
        <v>0.13766451422092962</v>
      </c>
    </row>
    <row r="61" spans="1:5" x14ac:dyDescent="0.25">
      <c r="A61" s="1">
        <v>5</v>
      </c>
      <c r="B61" s="118">
        <v>2017</v>
      </c>
      <c r="C61" s="119">
        <v>101435</v>
      </c>
      <c r="D61" s="120">
        <f>C61/C62-1</f>
        <v>0.35757113413099928</v>
      </c>
    </row>
    <row r="62" spans="1:5" x14ac:dyDescent="0.25">
      <c r="A62" s="1">
        <v>6</v>
      </c>
      <c r="B62" s="118">
        <v>2016</v>
      </c>
      <c r="C62" s="119">
        <v>74718</v>
      </c>
      <c r="D62" s="120">
        <f>C62/C63-1</f>
        <v>8.7693248318630346E-2</v>
      </c>
    </row>
    <row r="63" spans="1:5" x14ac:dyDescent="0.25">
      <c r="A63" s="1">
        <v>7</v>
      </c>
      <c r="B63" s="118">
        <v>2015</v>
      </c>
      <c r="C63" s="119">
        <v>68694</v>
      </c>
      <c r="D63" s="120">
        <f t="shared" si="4"/>
        <v>0.16598489349062207</v>
      </c>
    </row>
    <row r="64" spans="1:5" x14ac:dyDescent="0.25">
      <c r="A64" s="1">
        <v>8</v>
      </c>
      <c r="B64" s="118">
        <v>2014</v>
      </c>
      <c r="C64" s="119">
        <v>58915</v>
      </c>
      <c r="D64" s="120">
        <f t="shared" si="4"/>
        <v>0.24582364136181001</v>
      </c>
    </row>
    <row r="65" spans="1:5" x14ac:dyDescent="0.25">
      <c r="A65" s="1">
        <v>9</v>
      </c>
      <c r="B65" s="118">
        <v>2013</v>
      </c>
      <c r="C65" s="119">
        <v>47290</v>
      </c>
      <c r="D65" s="120">
        <f t="shared" si="4"/>
        <v>6.2935491121600462E-2</v>
      </c>
    </row>
    <row r="66" spans="1:5" x14ac:dyDescent="0.25">
      <c r="A66" s="1">
        <v>10</v>
      </c>
      <c r="B66" s="118">
        <v>2012</v>
      </c>
      <c r="C66" s="119">
        <v>44490</v>
      </c>
      <c r="D66" s="120">
        <f>C66/C67-1</f>
        <v>0.23893065998329166</v>
      </c>
    </row>
    <row r="67" spans="1:5" x14ac:dyDescent="0.25">
      <c r="A67" s="1">
        <v>11</v>
      </c>
      <c r="B67" s="118">
        <v>2011</v>
      </c>
      <c r="C67" s="119">
        <v>35910</v>
      </c>
      <c r="D67" s="120">
        <f t="shared" si="4"/>
        <v>0.13678812244768745</v>
      </c>
    </row>
    <row r="68" spans="1:5" x14ac:dyDescent="0.25">
      <c r="A68" s="1">
        <v>12</v>
      </c>
      <c r="B68" s="118">
        <v>2010</v>
      </c>
      <c r="C68" s="119">
        <v>31589</v>
      </c>
      <c r="D68" s="120"/>
    </row>
    <row r="69" spans="1:5" ht="6" customHeight="1" x14ac:dyDescent="0.25"/>
    <row r="70" spans="1:5" x14ac:dyDescent="0.25">
      <c r="B70" s="107" t="s">
        <v>57</v>
      </c>
      <c r="C70" s="107"/>
      <c r="D70" s="107"/>
    </row>
    <row r="73" spans="1:5" ht="48.75" customHeight="1" thickBot="1" x14ac:dyDescent="0.3">
      <c r="B73" s="278" t="s">
        <v>143</v>
      </c>
      <c r="C73" s="278"/>
      <c r="D73" s="278"/>
      <c r="E73" s="1" t="s">
        <v>103</v>
      </c>
    </row>
    <row r="74" spans="1:5" ht="10.5" customHeight="1" thickBot="1" x14ac:dyDescent="0.3">
      <c r="B74" s="108"/>
      <c r="C74" s="109"/>
      <c r="D74" s="108"/>
      <c r="E74" s="1" t="s">
        <v>104</v>
      </c>
    </row>
    <row r="75" spans="1:5" ht="22.5" thickTop="1" thickBot="1" x14ac:dyDescent="0.3">
      <c r="B75" s="111"/>
      <c r="C75" s="303" t="s">
        <v>144</v>
      </c>
      <c r="D75" s="304"/>
    </row>
    <row r="76" spans="1:5" ht="16.5" thickTop="1" thickBot="1" x14ac:dyDescent="0.3">
      <c r="B76" s="87"/>
      <c r="C76" s="115" t="s">
        <v>140</v>
      </c>
      <c r="D76" s="116" t="s">
        <v>141</v>
      </c>
    </row>
    <row r="77" spans="1:5" x14ac:dyDescent="0.25">
      <c r="A77" s="1">
        <v>1</v>
      </c>
      <c r="B77" s="118">
        <v>2024</v>
      </c>
      <c r="C77" s="119">
        <v>99644</v>
      </c>
      <c r="D77" s="120">
        <f t="shared" ref="D77:D83" si="5">C77/C78-1</f>
        <v>6.6030469017459792E-2</v>
      </c>
    </row>
    <row r="78" spans="1:5" x14ac:dyDescent="0.25">
      <c r="A78" s="1"/>
      <c r="B78" s="118">
        <v>2023</v>
      </c>
      <c r="C78" s="119">
        <v>93472</v>
      </c>
      <c r="D78" s="120">
        <f t="shared" si="5"/>
        <v>4.0670419761545951E-4</v>
      </c>
    </row>
    <row r="79" spans="1:5" x14ac:dyDescent="0.25">
      <c r="A79" s="1"/>
      <c r="B79" s="118">
        <v>2022</v>
      </c>
      <c r="C79" s="119">
        <v>93434</v>
      </c>
      <c r="D79" s="120">
        <f t="shared" si="5"/>
        <v>0.52386078220308585</v>
      </c>
    </row>
    <row r="80" spans="1:5" x14ac:dyDescent="0.25">
      <c r="A80" s="1"/>
      <c r="B80" s="118">
        <v>2021</v>
      </c>
      <c r="C80" s="119">
        <v>61314</v>
      </c>
      <c r="D80" s="120">
        <f t="shared" si="5"/>
        <v>0.25829092103102935</v>
      </c>
    </row>
    <row r="81" spans="1:4" x14ac:dyDescent="0.25">
      <c r="A81" s="1">
        <v>2</v>
      </c>
      <c r="B81" s="118">
        <v>2020</v>
      </c>
      <c r="C81" s="119">
        <v>48728</v>
      </c>
      <c r="D81" s="120">
        <f t="shared" si="5"/>
        <v>-0.55534871836987965</v>
      </c>
    </row>
    <row r="82" spans="1:4" x14ac:dyDescent="0.25">
      <c r="A82" s="1">
        <v>3</v>
      </c>
      <c r="B82" s="118">
        <v>2019</v>
      </c>
      <c r="C82" s="119">
        <v>109587</v>
      </c>
      <c r="D82" s="120">
        <f t="shared" si="5"/>
        <v>-6.2637926610212946E-2</v>
      </c>
    </row>
    <row r="83" spans="1:4" x14ac:dyDescent="0.25">
      <c r="A83" s="1">
        <v>4</v>
      </c>
      <c r="B83" s="118">
        <v>2018</v>
      </c>
      <c r="C83" s="119">
        <v>116910</v>
      </c>
      <c r="D83" s="120">
        <f t="shared" si="5"/>
        <v>-0.26112016988358422</v>
      </c>
    </row>
    <row r="84" spans="1:4" x14ac:dyDescent="0.25">
      <c r="A84" s="1">
        <v>5</v>
      </c>
      <c r="B84" s="118">
        <v>2017</v>
      </c>
      <c r="C84" s="119">
        <v>158226</v>
      </c>
      <c r="D84" s="120">
        <f>C84/C85-1</f>
        <v>-0.11137943816059936</v>
      </c>
    </row>
    <row r="85" spans="1:4" x14ac:dyDescent="0.25">
      <c r="A85" s="1">
        <v>6</v>
      </c>
      <c r="B85" s="118">
        <v>2016</v>
      </c>
      <c r="C85" s="119">
        <v>178058</v>
      </c>
      <c r="D85" s="120">
        <f>C85/C86-1</f>
        <v>0.10205546856141967</v>
      </c>
    </row>
    <row r="86" spans="1:4" x14ac:dyDescent="0.25">
      <c r="A86" s="1">
        <v>7</v>
      </c>
      <c r="B86" s="118">
        <v>2015</v>
      </c>
      <c r="C86" s="119">
        <v>161569</v>
      </c>
      <c r="D86" s="120">
        <f t="shared" ref="D86:D88" si="6">C86/C87-1</f>
        <v>0.12010898200271769</v>
      </c>
    </row>
    <row r="87" spans="1:4" x14ac:dyDescent="0.25">
      <c r="A87" s="1">
        <v>8</v>
      </c>
      <c r="B87" s="118">
        <v>2014</v>
      </c>
      <c r="C87" s="119">
        <v>144244</v>
      </c>
      <c r="D87" s="120">
        <f t="shared" si="6"/>
        <v>9.2476180377781381E-2</v>
      </c>
    </row>
    <row r="88" spans="1:4" x14ac:dyDescent="0.25">
      <c r="A88" s="1">
        <v>9</v>
      </c>
      <c r="B88" s="118">
        <v>2013</v>
      </c>
      <c r="C88" s="119">
        <v>132034</v>
      </c>
      <c r="D88" s="120">
        <f t="shared" si="6"/>
        <v>0.10720335429769401</v>
      </c>
    </row>
    <row r="89" spans="1:4" x14ac:dyDescent="0.25">
      <c r="A89" s="1">
        <v>10</v>
      </c>
      <c r="B89" s="118">
        <v>2012</v>
      </c>
      <c r="C89" s="119">
        <v>119250</v>
      </c>
      <c r="D89" s="120">
        <f>C89/C90-1</f>
        <v>-9.0506951806401892E-2</v>
      </c>
    </row>
    <row r="90" spans="1:4" x14ac:dyDescent="0.25">
      <c r="A90" s="1">
        <v>11</v>
      </c>
      <c r="B90" s="118">
        <v>2011</v>
      </c>
      <c r="C90" s="119">
        <v>131117</v>
      </c>
      <c r="D90" s="120">
        <f t="shared" ref="D90" si="7">C90/C91-1</f>
        <v>-0.10027448020311536</v>
      </c>
    </row>
    <row r="91" spans="1:4" x14ac:dyDescent="0.25">
      <c r="A91" s="1">
        <v>12</v>
      </c>
      <c r="B91" s="118">
        <v>2010</v>
      </c>
      <c r="C91" s="119">
        <v>145730</v>
      </c>
      <c r="D91" s="120"/>
    </row>
    <row r="92" spans="1:4" ht="6" customHeight="1" x14ac:dyDescent="0.25"/>
    <row r="93" spans="1:4" x14ac:dyDescent="0.25">
      <c r="B93" s="107" t="s">
        <v>57</v>
      </c>
      <c r="C93" s="107"/>
      <c r="D93" s="107"/>
    </row>
  </sheetData>
  <mergeCells count="8">
    <mergeCell ref="B73:D73"/>
    <mergeCell ref="C75:D75"/>
    <mergeCell ref="B4:D4"/>
    <mergeCell ref="C6:D6"/>
    <mergeCell ref="B27:D27"/>
    <mergeCell ref="C29:D29"/>
    <mergeCell ref="B50:D50"/>
    <mergeCell ref="C52:D52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BEB41-D25D-4645-B605-33039C48295A}">
  <sheetPr>
    <tabColor theme="7" tint="0.79998168889431442"/>
  </sheetPr>
  <dimension ref="A1:V59"/>
  <sheetViews>
    <sheetView showGridLines="0" workbookViewId="0"/>
  </sheetViews>
  <sheetFormatPr baseColWidth="10" defaultRowHeight="15" x14ac:dyDescent="0.25"/>
  <cols>
    <col min="1" max="1" width="15.5703125" customWidth="1"/>
    <col min="2" max="2" width="27.42578125" customWidth="1"/>
    <col min="3" max="8" width="12.85546875" customWidth="1"/>
    <col min="9" max="10" width="9.7109375" customWidth="1"/>
    <col min="11" max="11" width="12.28515625" customWidth="1"/>
    <col min="17" max="18" width="11.42578125" customWidth="1"/>
    <col min="19" max="20" width="10.42578125" customWidth="1"/>
    <col min="21" max="21" width="11.140625" customWidth="1"/>
    <col min="22" max="22" width="10.42578125" customWidth="1"/>
  </cols>
  <sheetData>
    <row r="1" spans="1:22" ht="42.75" customHeight="1" x14ac:dyDescent="0.25"/>
    <row r="2" spans="1:22" ht="24" x14ac:dyDescent="0.4">
      <c r="B2" s="129"/>
      <c r="C2" s="129"/>
      <c r="D2" s="129"/>
      <c r="E2" s="129"/>
      <c r="F2" s="129"/>
    </row>
    <row r="3" spans="1:22" ht="40.5" customHeight="1" thickBot="1" x14ac:dyDescent="0.3">
      <c r="B3" s="66" t="s">
        <v>145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</row>
    <row r="4" spans="1:22" ht="8.25" customHeight="1" thickBot="1" x14ac:dyDescent="0.3">
      <c r="B4" s="85"/>
      <c r="C4" s="85"/>
      <c r="D4" s="85"/>
      <c r="E4" s="85"/>
      <c r="F4" s="85"/>
      <c r="G4" s="85"/>
      <c r="H4" s="85"/>
      <c r="I4" s="85"/>
      <c r="J4" s="86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</row>
    <row r="5" spans="1:22" ht="60.75" thickBot="1" x14ac:dyDescent="0.3">
      <c r="B5" s="87"/>
      <c r="C5" s="130" t="s">
        <v>256</v>
      </c>
      <c r="D5" s="130" t="s">
        <v>230</v>
      </c>
      <c r="E5" s="130" t="s">
        <v>231</v>
      </c>
      <c r="F5" s="130" t="s">
        <v>232</v>
      </c>
      <c r="G5" s="130" t="s">
        <v>233</v>
      </c>
      <c r="H5" s="130" t="s">
        <v>234</v>
      </c>
      <c r="I5" s="131" t="str">
        <f>CONCATENATE("var. ",RIGHT(H5,2),"/",RIGHT(G5,2))</f>
        <v>var. 25/24</v>
      </c>
      <c r="J5" s="131" t="str">
        <f>CONCATENATE("dif. ",RIGHT(H5,2),"/",RIGHT(G5,2))</f>
        <v>dif. 25/24</v>
      </c>
      <c r="K5" s="14" t="str">
        <f>CONCATENATE("cuota ",H5)</f>
        <v>cuota acumulado a junio 2025</v>
      </c>
      <c r="L5" s="14" t="str">
        <f>CONCATENATE("cuota/ total municipio ",RIGHT(H5,2))</f>
        <v>cuota/ total municipio 25</v>
      </c>
      <c r="M5" s="13" t="s">
        <v>257</v>
      </c>
      <c r="N5" s="13" t="s">
        <v>224</v>
      </c>
      <c r="O5" s="13" t="s">
        <v>225</v>
      </c>
      <c r="P5" s="13" t="s">
        <v>226</v>
      </c>
      <c r="Q5" s="13" t="s">
        <v>227</v>
      </c>
      <c r="R5" s="13" t="s">
        <v>228</v>
      </c>
      <c r="S5" s="131" t="str">
        <f>CONCATENATE("var. ",RIGHT(R5,2),"/",RIGHT(Q5,2))</f>
        <v>var. 25/24</v>
      </c>
      <c r="T5" s="131" t="str">
        <f>CONCATENATE("dif. ",RIGHT(R5,2),"/",RIGHT(Q5,2))</f>
        <v>dif. 25/24</v>
      </c>
      <c r="U5" s="14" t="str">
        <f>CONCATENATE("cuota ",R5)</f>
        <v>cuota junio 2025</v>
      </c>
      <c r="V5" s="132" t="str">
        <f>CONCATENATE("cuota/ total municipio ",RIGHT(R5,2))</f>
        <v>cuota/ total municipio 25</v>
      </c>
    </row>
    <row r="6" spans="1:22" ht="15.75" x14ac:dyDescent="0.25">
      <c r="B6" s="133" t="s">
        <v>45</v>
      </c>
      <c r="C6" s="134">
        <v>953043</v>
      </c>
      <c r="D6" s="134">
        <v>520786</v>
      </c>
      <c r="E6" s="134">
        <v>2203401</v>
      </c>
      <c r="F6" s="134">
        <v>2523398</v>
      </c>
      <c r="G6" s="134">
        <v>2685619</v>
      </c>
      <c r="H6" s="134">
        <v>2666692</v>
      </c>
      <c r="I6" s="135">
        <f>IFERROR(H6/G6-1,"-")</f>
        <v>-7.0475372716680695E-3</v>
      </c>
      <c r="J6" s="134">
        <f>IFERROR(H6-G6,"-")</f>
        <v>-18927</v>
      </c>
      <c r="K6" s="135">
        <f t="shared" ref="K6:K57" si="0">IFERROR(H6/$H$6,"-")</f>
        <v>1</v>
      </c>
      <c r="L6" s="136">
        <f>H6/H6</f>
        <v>1</v>
      </c>
      <c r="M6" s="134">
        <v>4661</v>
      </c>
      <c r="N6" s="134">
        <v>142483</v>
      </c>
      <c r="O6" s="134">
        <v>381871</v>
      </c>
      <c r="P6" s="134">
        <v>431303</v>
      </c>
      <c r="Q6" s="134">
        <v>446421</v>
      </c>
      <c r="R6" s="134">
        <v>437805</v>
      </c>
      <c r="S6" s="135">
        <f>IFERROR(R6/Q6-1,"-")</f>
        <v>-1.9300167330837947E-2</v>
      </c>
      <c r="T6" s="134">
        <f t="shared" ref="T6:T57" si="1">R6-Q6</f>
        <v>-8616</v>
      </c>
      <c r="U6" s="135">
        <f>IFERROR(P6/$P$6,"-")</f>
        <v>1</v>
      </c>
      <c r="V6" s="136">
        <f>IFERROR(R6/R6,"-")</f>
        <v>1</v>
      </c>
    </row>
    <row r="7" spans="1:22" ht="15.75" x14ac:dyDescent="0.25">
      <c r="B7" s="137" t="s">
        <v>62</v>
      </c>
      <c r="C7" s="138">
        <v>724591</v>
      </c>
      <c r="D7" s="138">
        <v>400632</v>
      </c>
      <c r="E7" s="138">
        <v>1755213</v>
      </c>
      <c r="F7" s="138">
        <v>1992209</v>
      </c>
      <c r="G7" s="138">
        <v>2100816</v>
      </c>
      <c r="H7" s="138">
        <v>2057357</v>
      </c>
      <c r="I7" s="139">
        <f t="shared" ref="I7:I57" si="2">IFERROR(H7/G7-1,"-")</f>
        <v>-2.0686723635006565E-2</v>
      </c>
      <c r="J7" s="138">
        <f t="shared" ref="J7:J57" si="3">IFERROR(H7-G7,"-")</f>
        <v>-43459</v>
      </c>
      <c r="K7" s="139">
        <f t="shared" si="0"/>
        <v>0.77150154573531549</v>
      </c>
      <c r="L7" s="139">
        <f>H7/H6</f>
        <v>0.77150154573531549</v>
      </c>
      <c r="M7" s="138">
        <v>0</v>
      </c>
      <c r="N7" s="138">
        <v>111793</v>
      </c>
      <c r="O7" s="138">
        <v>305537</v>
      </c>
      <c r="P7" s="138">
        <v>337785</v>
      </c>
      <c r="Q7" s="138">
        <v>348451</v>
      </c>
      <c r="R7" s="138">
        <v>333209</v>
      </c>
      <c r="S7" s="139">
        <f t="shared" ref="S7:S57" si="4">IFERROR(R7/Q7-1,"-")</f>
        <v>-4.3742161738666296E-2</v>
      </c>
      <c r="T7" s="138">
        <f t="shared" si="1"/>
        <v>-15242</v>
      </c>
      <c r="U7" s="139">
        <f t="shared" ref="U7:U57" si="5">IFERROR(P7/$P$6,"-")</f>
        <v>0.78317331435209125</v>
      </c>
      <c r="V7" s="139">
        <f>IFERROR(R7/R6,"-")</f>
        <v>0.76108998298329167</v>
      </c>
    </row>
    <row r="8" spans="1:22" x14ac:dyDescent="0.25">
      <c r="B8" s="99" t="s">
        <v>142</v>
      </c>
      <c r="C8" s="53">
        <v>575900</v>
      </c>
      <c r="D8" s="53">
        <v>317849</v>
      </c>
      <c r="E8" s="53">
        <v>1440620</v>
      </c>
      <c r="F8" s="53">
        <v>1617630</v>
      </c>
      <c r="G8" s="53">
        <v>1727598</v>
      </c>
      <c r="H8" s="53">
        <v>1684575</v>
      </c>
      <c r="I8" s="100">
        <f t="shared" si="2"/>
        <v>-2.4903362935127293E-2</v>
      </c>
      <c r="J8" s="53">
        <f t="shared" si="3"/>
        <v>-43023</v>
      </c>
      <c r="K8" s="100">
        <f t="shared" si="0"/>
        <v>0.63170962375857431</v>
      </c>
      <c r="L8" s="100">
        <f>H8/H6</f>
        <v>0.63170962375857431</v>
      </c>
      <c r="M8" s="53">
        <v>0</v>
      </c>
      <c r="N8" s="53">
        <v>91326</v>
      </c>
      <c r="O8" s="53">
        <v>253229</v>
      </c>
      <c r="P8" s="53">
        <v>277365</v>
      </c>
      <c r="Q8" s="53">
        <v>286036</v>
      </c>
      <c r="R8" s="53">
        <v>272691</v>
      </c>
      <c r="S8" s="100">
        <f t="shared" si="4"/>
        <v>-4.6654966507712281E-2</v>
      </c>
      <c r="T8" s="53">
        <f t="shared" si="1"/>
        <v>-13345</v>
      </c>
      <c r="U8" s="100">
        <f t="shared" si="5"/>
        <v>0.64308618303141873</v>
      </c>
      <c r="V8" s="100">
        <f>IFERROR(R8/R6,"-")</f>
        <v>0.62285949223969572</v>
      </c>
    </row>
    <row r="9" spans="1:22" x14ac:dyDescent="0.25">
      <c r="B9" s="99" t="s">
        <v>144</v>
      </c>
      <c r="C9" s="53">
        <v>148691</v>
      </c>
      <c r="D9" s="53">
        <v>82783</v>
      </c>
      <c r="E9" s="53">
        <v>314593</v>
      </c>
      <c r="F9" s="53">
        <v>374579</v>
      </c>
      <c r="G9" s="53">
        <v>373218</v>
      </c>
      <c r="H9" s="53">
        <v>372782</v>
      </c>
      <c r="I9" s="100">
        <f t="shared" si="2"/>
        <v>-1.1682180387869723E-3</v>
      </c>
      <c r="J9" s="53">
        <f t="shared" si="3"/>
        <v>-436</v>
      </c>
      <c r="K9" s="100">
        <f t="shared" si="0"/>
        <v>0.13979192197674123</v>
      </c>
      <c r="L9" s="100">
        <f>H9/H6</f>
        <v>0.13979192197674123</v>
      </c>
      <c r="M9" s="53">
        <v>0</v>
      </c>
      <c r="N9" s="53">
        <v>20467</v>
      </c>
      <c r="O9" s="53">
        <v>52308</v>
      </c>
      <c r="P9" s="53">
        <v>60420</v>
      </c>
      <c r="Q9" s="53">
        <v>62415</v>
      </c>
      <c r="R9" s="53">
        <v>60518</v>
      </c>
      <c r="S9" s="100">
        <f t="shared" si="4"/>
        <v>-3.0393334935512328E-2</v>
      </c>
      <c r="T9" s="53">
        <f t="shared" si="1"/>
        <v>-1897</v>
      </c>
      <c r="U9" s="100">
        <f t="shared" si="5"/>
        <v>0.14008713132067246</v>
      </c>
      <c r="V9" s="100">
        <f>IFERROR(R9/R6,"-")</f>
        <v>0.13823049074359589</v>
      </c>
    </row>
    <row r="10" spans="1:22" ht="16.5" thickBot="1" x14ac:dyDescent="0.3">
      <c r="B10" s="140" t="s">
        <v>65</v>
      </c>
      <c r="C10" s="141">
        <v>222725</v>
      </c>
      <c r="D10" s="141">
        <v>120154</v>
      </c>
      <c r="E10" s="141">
        <v>448188</v>
      </c>
      <c r="F10" s="141">
        <v>531189</v>
      </c>
      <c r="G10" s="141">
        <v>584803</v>
      </c>
      <c r="H10" s="141">
        <v>609335</v>
      </c>
      <c r="I10" s="142">
        <f t="shared" si="2"/>
        <v>4.1949169207408321E-2</v>
      </c>
      <c r="J10" s="141">
        <f t="shared" si="3"/>
        <v>24532</v>
      </c>
      <c r="K10" s="142">
        <f t="shared" si="0"/>
        <v>0.22849845426468449</v>
      </c>
      <c r="L10" s="142">
        <f>H10/H6</f>
        <v>0.22849845426468449</v>
      </c>
      <c r="M10" s="141">
        <v>0</v>
      </c>
      <c r="N10" s="141">
        <v>30690</v>
      </c>
      <c r="O10" s="141">
        <v>76334</v>
      </c>
      <c r="P10" s="141">
        <v>93518</v>
      </c>
      <c r="Q10" s="141">
        <v>97970</v>
      </c>
      <c r="R10" s="141">
        <v>104596</v>
      </c>
      <c r="S10" s="142">
        <f t="shared" si="4"/>
        <v>6.7632948861896525E-2</v>
      </c>
      <c r="T10" s="141">
        <f t="shared" si="1"/>
        <v>6626</v>
      </c>
      <c r="U10" s="142">
        <f t="shared" si="5"/>
        <v>0.21682668564790877</v>
      </c>
      <c r="V10" s="142">
        <f>IFERROR(R10/R6,"-")</f>
        <v>0.23891001701670836</v>
      </c>
    </row>
    <row r="11" spans="1:22" ht="15.75" x14ac:dyDescent="0.25">
      <c r="A11" s="143">
        <f>G11/$G$11</f>
        <v>1</v>
      </c>
      <c r="B11" s="133" t="s">
        <v>46</v>
      </c>
      <c r="C11" s="134">
        <v>344170</v>
      </c>
      <c r="D11" s="134">
        <v>187853</v>
      </c>
      <c r="E11" s="134">
        <v>828210</v>
      </c>
      <c r="F11" s="134">
        <v>916045</v>
      </c>
      <c r="G11" s="134">
        <v>958917</v>
      </c>
      <c r="H11" s="134">
        <v>917365</v>
      </c>
      <c r="I11" s="135">
        <f t="shared" si="2"/>
        <v>-4.3332217491190539E-2</v>
      </c>
      <c r="J11" s="134">
        <f t="shared" si="3"/>
        <v>-41552</v>
      </c>
      <c r="K11" s="135">
        <f t="shared" si="0"/>
        <v>0.34400860691823426</v>
      </c>
      <c r="L11" s="136">
        <f>H11/H11</f>
        <v>1</v>
      </c>
      <c r="M11" s="134">
        <v>0</v>
      </c>
      <c r="N11" s="134">
        <v>53539</v>
      </c>
      <c r="O11" s="134">
        <v>144989</v>
      </c>
      <c r="P11" s="134">
        <v>157350</v>
      </c>
      <c r="Q11" s="134">
        <v>157065</v>
      </c>
      <c r="R11" s="134">
        <v>145993</v>
      </c>
      <c r="S11" s="135">
        <f t="shared" si="4"/>
        <v>-7.0493107948938372E-2</v>
      </c>
      <c r="T11" s="134">
        <f t="shared" si="1"/>
        <v>-11072</v>
      </c>
      <c r="U11" s="135">
        <f t="shared" si="5"/>
        <v>0.36482472878695488</v>
      </c>
      <c r="V11" s="136">
        <f>IFERROR(R11/R11,"-")</f>
        <v>1</v>
      </c>
    </row>
    <row r="12" spans="1:22" ht="15.75" x14ac:dyDescent="0.25">
      <c r="A12" s="143">
        <f>G12/$G$11</f>
        <v>0.81552000850959994</v>
      </c>
      <c r="B12" s="137" t="s">
        <v>62</v>
      </c>
      <c r="C12" s="138">
        <v>279824</v>
      </c>
      <c r="D12" s="138">
        <v>151180</v>
      </c>
      <c r="E12" s="138">
        <v>713676</v>
      </c>
      <c r="F12" s="138">
        <v>751148</v>
      </c>
      <c r="G12" s="138">
        <v>782016</v>
      </c>
      <c r="H12" s="138">
        <v>735111</v>
      </c>
      <c r="I12" s="139">
        <f t="shared" si="2"/>
        <v>-5.9979591210409966E-2</v>
      </c>
      <c r="J12" s="138">
        <f t="shared" si="3"/>
        <v>-46905</v>
      </c>
      <c r="K12" s="139">
        <f t="shared" si="0"/>
        <v>0.2756640061919412</v>
      </c>
      <c r="L12" s="139">
        <f>H12/H11</f>
        <v>0.80132880587334376</v>
      </c>
      <c r="M12" s="138">
        <v>0</v>
      </c>
      <c r="N12" s="138">
        <v>44847</v>
      </c>
      <c r="O12" s="138">
        <v>123799</v>
      </c>
      <c r="P12" s="138">
        <v>127951</v>
      </c>
      <c r="Q12" s="138">
        <v>129241</v>
      </c>
      <c r="R12" s="138">
        <v>115607</v>
      </c>
      <c r="S12" s="139">
        <f t="shared" si="4"/>
        <v>-0.10549283895977279</v>
      </c>
      <c r="T12" s="138">
        <f t="shared" si="1"/>
        <v>-13634</v>
      </c>
      <c r="U12" s="139">
        <f t="shared" si="5"/>
        <v>0.29666151174464356</v>
      </c>
      <c r="V12" s="139">
        <f>IFERROR(R12/R11,"-")</f>
        <v>0.79186673333652979</v>
      </c>
    </row>
    <row r="13" spans="1:22" x14ac:dyDescent="0.25">
      <c r="A13" s="143">
        <f>G13/$G$11</f>
        <v>0.735353529033274</v>
      </c>
      <c r="B13" s="99" t="s">
        <v>142</v>
      </c>
      <c r="C13" s="53">
        <v>243977</v>
      </c>
      <c r="D13" s="53">
        <v>147521</v>
      </c>
      <c r="E13" s="53">
        <v>638621</v>
      </c>
      <c r="F13" s="53">
        <v>669357</v>
      </c>
      <c r="G13" s="53">
        <v>705143</v>
      </c>
      <c r="H13" s="53">
        <v>656124</v>
      </c>
      <c r="I13" s="100">
        <f t="shared" si="2"/>
        <v>-6.9516395965073752E-2</v>
      </c>
      <c r="J13" s="53">
        <f t="shared" si="3"/>
        <v>-49019</v>
      </c>
      <c r="K13" s="100">
        <f t="shared" si="0"/>
        <v>0.24604416258045547</v>
      </c>
      <c r="L13" s="100">
        <f>H13/H11</f>
        <v>0.71522676361099458</v>
      </c>
      <c r="M13" s="53">
        <v>0</v>
      </c>
      <c r="N13" s="53">
        <v>43303</v>
      </c>
      <c r="O13" s="53">
        <v>110209</v>
      </c>
      <c r="P13" s="53">
        <v>114600</v>
      </c>
      <c r="Q13" s="53">
        <v>117142</v>
      </c>
      <c r="R13" s="53">
        <v>102220</v>
      </c>
      <c r="S13" s="100">
        <f t="shared" si="4"/>
        <v>-0.12738385890628467</v>
      </c>
      <c r="T13" s="53">
        <f t="shared" si="1"/>
        <v>-14922</v>
      </c>
      <c r="U13" s="100">
        <f t="shared" si="5"/>
        <v>0.26570647549402626</v>
      </c>
      <c r="V13" s="100">
        <f>IFERROR(R13/R11,"-")</f>
        <v>0.70017055612255386</v>
      </c>
    </row>
    <row r="14" spans="1:22" x14ac:dyDescent="0.25">
      <c r="A14" s="143">
        <f>G14/$G$11</f>
        <v>8.0166479476325894E-2</v>
      </c>
      <c r="B14" s="99" t="s">
        <v>144</v>
      </c>
      <c r="C14" s="53">
        <v>35847</v>
      </c>
      <c r="D14" s="53">
        <v>3659</v>
      </c>
      <c r="E14" s="53">
        <v>75055</v>
      </c>
      <c r="F14" s="53">
        <v>81791</v>
      </c>
      <c r="G14" s="53">
        <v>76873</v>
      </c>
      <c r="H14" s="53">
        <v>78987</v>
      </c>
      <c r="I14" s="100">
        <f t="shared" si="2"/>
        <v>2.7499902436486146E-2</v>
      </c>
      <c r="J14" s="53">
        <f t="shared" si="3"/>
        <v>2114</v>
      </c>
      <c r="K14" s="100">
        <f t="shared" si="0"/>
        <v>2.9619843611485692E-2</v>
      </c>
      <c r="L14" s="100">
        <f>H14/H11</f>
        <v>8.6102042262349229E-2</v>
      </c>
      <c r="M14" s="53">
        <v>0</v>
      </c>
      <c r="N14" s="53">
        <v>1544</v>
      </c>
      <c r="O14" s="53">
        <v>13590</v>
      </c>
      <c r="P14" s="53">
        <v>13351</v>
      </c>
      <c r="Q14" s="53">
        <v>12099</v>
      </c>
      <c r="R14" s="53">
        <v>13387</v>
      </c>
      <c r="S14" s="100">
        <f t="shared" si="4"/>
        <v>0.10645507893214323</v>
      </c>
      <c r="T14" s="53">
        <f t="shared" si="1"/>
        <v>1288</v>
      </c>
      <c r="U14" s="100">
        <f t="shared" si="5"/>
        <v>3.0955036250617317E-2</v>
      </c>
      <c r="V14" s="100">
        <f>IFERROR(R14/R11,"-")</f>
        <v>9.1696177213976007E-2</v>
      </c>
    </row>
    <row r="15" spans="1:22" ht="16.5" thickBot="1" x14ac:dyDescent="0.3">
      <c r="A15" s="143">
        <f>G15/$G$11</f>
        <v>0.18447999149040012</v>
      </c>
      <c r="B15" s="140" t="s">
        <v>65</v>
      </c>
      <c r="C15" s="141">
        <v>64346</v>
      </c>
      <c r="D15" s="141">
        <v>36673</v>
      </c>
      <c r="E15" s="141">
        <v>114534</v>
      </c>
      <c r="F15" s="141">
        <v>164897</v>
      </c>
      <c r="G15" s="141">
        <v>176901</v>
      </c>
      <c r="H15" s="141">
        <v>182254</v>
      </c>
      <c r="I15" s="142">
        <f t="shared" si="2"/>
        <v>3.0259862861148346E-2</v>
      </c>
      <c r="J15" s="141">
        <f t="shared" si="3"/>
        <v>5353</v>
      </c>
      <c r="K15" s="142">
        <f t="shared" si="0"/>
        <v>6.83446007262931E-2</v>
      </c>
      <c r="L15" s="142">
        <f>H15/H11</f>
        <v>0.19867119412665624</v>
      </c>
      <c r="M15" s="141">
        <v>0</v>
      </c>
      <c r="N15" s="141">
        <v>8692</v>
      </c>
      <c r="O15" s="141">
        <v>21190</v>
      </c>
      <c r="P15" s="141">
        <v>29399</v>
      </c>
      <c r="Q15" s="141">
        <v>27824</v>
      </c>
      <c r="R15" s="141">
        <v>30386</v>
      </c>
      <c r="S15" s="142">
        <f t="shared" si="4"/>
        <v>9.2078780908568136E-2</v>
      </c>
      <c r="T15" s="141">
        <f t="shared" si="1"/>
        <v>2562</v>
      </c>
      <c r="U15" s="142">
        <f t="shared" si="5"/>
        <v>6.8163217042311319E-2</v>
      </c>
      <c r="V15" s="142">
        <f>IFERROR(R15/R11,"-")</f>
        <v>0.20813326666347018</v>
      </c>
    </row>
    <row r="16" spans="1:22" ht="15.75" x14ac:dyDescent="0.25">
      <c r="A16" s="81"/>
      <c r="B16" s="133" t="s">
        <v>47</v>
      </c>
      <c r="C16" s="134">
        <v>249277</v>
      </c>
      <c r="D16" s="134">
        <v>81359</v>
      </c>
      <c r="E16" s="134">
        <v>573119</v>
      </c>
      <c r="F16" s="134">
        <v>637900</v>
      </c>
      <c r="G16" s="134">
        <v>674898</v>
      </c>
      <c r="H16" s="134">
        <v>696244</v>
      </c>
      <c r="I16" s="135">
        <f t="shared" si="2"/>
        <v>3.1628483118930628E-2</v>
      </c>
      <c r="J16" s="134">
        <f t="shared" si="3"/>
        <v>21346</v>
      </c>
      <c r="K16" s="135">
        <f t="shared" si="0"/>
        <v>0.2610890196543133</v>
      </c>
      <c r="L16" s="136">
        <f>H16/H16</f>
        <v>1</v>
      </c>
      <c r="M16" s="134">
        <v>0</v>
      </c>
      <c r="N16" s="134">
        <v>21147</v>
      </c>
      <c r="O16" s="134">
        <v>99145</v>
      </c>
      <c r="P16" s="134">
        <v>109784</v>
      </c>
      <c r="Q16" s="134">
        <v>113390</v>
      </c>
      <c r="R16" s="134">
        <v>117164</v>
      </c>
      <c r="S16" s="135">
        <f t="shared" si="4"/>
        <v>3.3283358320839618E-2</v>
      </c>
      <c r="T16" s="134">
        <f t="shared" si="1"/>
        <v>3774</v>
      </c>
      <c r="U16" s="135">
        <f t="shared" si="5"/>
        <v>0.25454031156750589</v>
      </c>
      <c r="V16" s="136">
        <f>IFERROR(R16/R16,"-")</f>
        <v>1</v>
      </c>
    </row>
    <row r="17" spans="2:22" ht="15.75" x14ac:dyDescent="0.25">
      <c r="B17" s="137" t="s">
        <v>62</v>
      </c>
      <c r="C17" s="138">
        <v>147106</v>
      </c>
      <c r="D17" s="138">
        <v>23957</v>
      </c>
      <c r="E17" s="138">
        <v>339898</v>
      </c>
      <c r="F17" s="138">
        <v>391097</v>
      </c>
      <c r="G17" s="138">
        <v>412779</v>
      </c>
      <c r="H17" s="138">
        <v>427725</v>
      </c>
      <c r="I17" s="139">
        <f t="shared" si="2"/>
        <v>3.6208237337655325E-2</v>
      </c>
      <c r="J17" s="138">
        <f t="shared" si="3"/>
        <v>14946</v>
      </c>
      <c r="K17" s="139">
        <f t="shared" si="0"/>
        <v>0.16039535124416318</v>
      </c>
      <c r="L17" s="139">
        <f>H17/H16</f>
        <v>0.6143320445131305</v>
      </c>
      <c r="M17" s="138">
        <v>0</v>
      </c>
      <c r="N17" s="138">
        <v>7554</v>
      </c>
      <c r="O17" s="138">
        <v>62022</v>
      </c>
      <c r="P17" s="138">
        <v>67287</v>
      </c>
      <c r="Q17" s="138">
        <v>70894</v>
      </c>
      <c r="R17" s="138">
        <v>72569</v>
      </c>
      <c r="S17" s="139">
        <f t="shared" si="4"/>
        <v>2.3626823144412779E-2</v>
      </c>
      <c r="T17" s="138">
        <f t="shared" si="1"/>
        <v>1675</v>
      </c>
      <c r="U17" s="139">
        <f t="shared" si="5"/>
        <v>0.15600865284962079</v>
      </c>
      <c r="V17" s="139">
        <f>IFERROR(R17/R16,"-")</f>
        <v>0.61937967293707963</v>
      </c>
    </row>
    <row r="18" spans="2:22" x14ac:dyDescent="0.25">
      <c r="B18" s="99" t="s">
        <v>142</v>
      </c>
      <c r="C18" s="53">
        <v>107490</v>
      </c>
      <c r="D18" s="53">
        <v>19317</v>
      </c>
      <c r="E18" s="53">
        <v>257587</v>
      </c>
      <c r="F18" s="53">
        <v>292456</v>
      </c>
      <c r="G18" s="53">
        <v>311918</v>
      </c>
      <c r="H18" s="53">
        <v>332717</v>
      </c>
      <c r="I18" s="100">
        <f t="shared" si="2"/>
        <v>6.668098666957345E-2</v>
      </c>
      <c r="J18" s="53">
        <f t="shared" si="3"/>
        <v>20799</v>
      </c>
      <c r="K18" s="100">
        <f t="shared" si="0"/>
        <v>0.12476768970694778</v>
      </c>
      <c r="L18" s="100">
        <f>H18/H16</f>
        <v>0.47787413607873103</v>
      </c>
      <c r="M18" s="53">
        <v>0</v>
      </c>
      <c r="N18" s="53">
        <v>5683</v>
      </c>
      <c r="O18" s="53">
        <v>46624</v>
      </c>
      <c r="P18" s="53">
        <v>50600</v>
      </c>
      <c r="Q18" s="53">
        <v>52676</v>
      </c>
      <c r="R18" s="53">
        <v>57563</v>
      </c>
      <c r="S18" s="100">
        <f t="shared" si="4"/>
        <v>9.2774698154757473E-2</v>
      </c>
      <c r="T18" s="53">
        <f t="shared" si="1"/>
        <v>4887</v>
      </c>
      <c r="U18" s="100">
        <f t="shared" si="5"/>
        <v>0.11731891500870617</v>
      </c>
      <c r="V18" s="100">
        <f>IFERROR(R18/R16,"-")</f>
        <v>0.49130278925267146</v>
      </c>
    </row>
    <row r="19" spans="2:22" x14ac:dyDescent="0.25">
      <c r="B19" s="99" t="s">
        <v>144</v>
      </c>
      <c r="C19" s="53">
        <v>39616</v>
      </c>
      <c r="D19" s="53">
        <v>4640</v>
      </c>
      <c r="E19" s="53">
        <v>82311</v>
      </c>
      <c r="F19" s="53">
        <v>98641</v>
      </c>
      <c r="G19" s="53">
        <v>100861</v>
      </c>
      <c r="H19" s="53">
        <v>95008</v>
      </c>
      <c r="I19" s="100">
        <f t="shared" si="2"/>
        <v>-5.8030358612347732E-2</v>
      </c>
      <c r="J19" s="53">
        <f t="shared" si="3"/>
        <v>-5853</v>
      </c>
      <c r="K19" s="100">
        <f t="shared" si="0"/>
        <v>3.5627661537215395E-2</v>
      </c>
      <c r="L19" s="100">
        <f>H19/H16</f>
        <v>0.13645790843439942</v>
      </c>
      <c r="M19" s="53">
        <v>0</v>
      </c>
      <c r="N19" s="53">
        <v>1871</v>
      </c>
      <c r="O19" s="53">
        <v>15398</v>
      </c>
      <c r="P19" s="53">
        <v>16687</v>
      </c>
      <c r="Q19" s="53">
        <v>18218</v>
      </c>
      <c r="R19" s="53">
        <v>15006</v>
      </c>
      <c r="S19" s="100">
        <f t="shared" si="4"/>
        <v>-0.17630914480184434</v>
      </c>
      <c r="T19" s="53">
        <f t="shared" si="1"/>
        <v>-3212</v>
      </c>
      <c r="U19" s="100">
        <f t="shared" si="5"/>
        <v>3.8689737840914624E-2</v>
      </c>
      <c r="V19" s="100">
        <f>IFERROR(R19/R16,"-")</f>
        <v>0.12807688368440817</v>
      </c>
    </row>
    <row r="20" spans="2:22" ht="16.5" thickBot="1" x14ac:dyDescent="0.3">
      <c r="B20" s="140" t="s">
        <v>65</v>
      </c>
      <c r="C20" s="141">
        <v>102171</v>
      </c>
      <c r="D20" s="141">
        <v>57402</v>
      </c>
      <c r="E20" s="141">
        <v>233221</v>
      </c>
      <c r="F20" s="141">
        <v>246803</v>
      </c>
      <c r="G20" s="141">
        <v>262119</v>
      </c>
      <c r="H20" s="141">
        <v>268519</v>
      </c>
      <c r="I20" s="142">
        <f t="shared" si="2"/>
        <v>2.4416391028502238E-2</v>
      </c>
      <c r="J20" s="141">
        <f t="shared" si="3"/>
        <v>6400</v>
      </c>
      <c r="K20" s="142">
        <f t="shared" si="0"/>
        <v>0.10069366841015011</v>
      </c>
      <c r="L20" s="142">
        <f>H20/H16</f>
        <v>0.38566795548686955</v>
      </c>
      <c r="M20" s="141">
        <v>0</v>
      </c>
      <c r="N20" s="141">
        <v>13593</v>
      </c>
      <c r="O20" s="141">
        <v>37123</v>
      </c>
      <c r="P20" s="141">
        <v>42497</v>
      </c>
      <c r="Q20" s="141">
        <v>42496</v>
      </c>
      <c r="R20" s="141">
        <v>44595</v>
      </c>
      <c r="S20" s="142">
        <f t="shared" si="4"/>
        <v>4.9392884036144613E-2</v>
      </c>
      <c r="T20" s="141">
        <f t="shared" si="1"/>
        <v>2099</v>
      </c>
      <c r="U20" s="142">
        <f t="shared" si="5"/>
        <v>9.8531658717885107E-2</v>
      </c>
      <c r="V20" s="142">
        <f>IFERROR(R20/R16,"-")</f>
        <v>0.38062032706292037</v>
      </c>
    </row>
    <row r="21" spans="2:22" ht="15.75" x14ac:dyDescent="0.25">
      <c r="B21" s="133" t="s">
        <v>48</v>
      </c>
      <c r="C21" s="134">
        <v>10070</v>
      </c>
      <c r="D21" s="134">
        <v>5058</v>
      </c>
      <c r="E21" s="134">
        <v>16823</v>
      </c>
      <c r="F21" s="134">
        <v>27446</v>
      </c>
      <c r="G21" s="134">
        <v>23231</v>
      </c>
      <c r="H21" s="134">
        <v>21785</v>
      </c>
      <c r="I21" s="135">
        <f t="shared" si="2"/>
        <v>-6.2244414790581515E-2</v>
      </c>
      <c r="J21" s="134">
        <f t="shared" si="3"/>
        <v>-1446</v>
      </c>
      <c r="K21" s="135">
        <f t="shared" si="0"/>
        <v>8.1692973916747784E-3</v>
      </c>
      <c r="L21" s="136">
        <f>H21/H21</f>
        <v>1</v>
      </c>
      <c r="M21" s="134">
        <v>0</v>
      </c>
      <c r="N21" s="134">
        <v>1595</v>
      </c>
      <c r="O21" s="134">
        <v>2523</v>
      </c>
      <c r="P21" s="134">
        <v>3080</v>
      </c>
      <c r="Q21" s="134">
        <v>2377</v>
      </c>
      <c r="R21" s="134">
        <v>3338</v>
      </c>
      <c r="S21" s="135">
        <f t="shared" si="4"/>
        <v>0.40429112326461936</v>
      </c>
      <c r="T21" s="134">
        <f t="shared" si="1"/>
        <v>961</v>
      </c>
      <c r="U21" s="135">
        <f t="shared" si="5"/>
        <v>7.1411513483560281E-3</v>
      </c>
      <c r="V21" s="136">
        <f>IFERROR(R21/R21,"-")</f>
        <v>1</v>
      </c>
    </row>
    <row r="22" spans="2:22" ht="15.75" x14ac:dyDescent="0.25">
      <c r="B22" s="137" t="s">
        <v>62</v>
      </c>
      <c r="C22" s="138">
        <v>8192</v>
      </c>
      <c r="D22" s="138">
        <v>5058</v>
      </c>
      <c r="E22" s="138">
        <v>16823</v>
      </c>
      <c r="F22" s="138">
        <v>27125</v>
      </c>
      <c r="G22" s="138">
        <v>22938</v>
      </c>
      <c r="H22" s="138">
        <v>21490</v>
      </c>
      <c r="I22" s="139">
        <f t="shared" si="2"/>
        <v>-6.3126689336472253E-2</v>
      </c>
      <c r="J22" s="138">
        <f t="shared" si="3"/>
        <v>-1448</v>
      </c>
      <c r="K22" s="139">
        <f t="shared" si="0"/>
        <v>8.0586734426022957E-3</v>
      </c>
      <c r="L22" s="139">
        <f>H22/H21</f>
        <v>0.98645857241221024</v>
      </c>
      <c r="M22" s="138">
        <v>0</v>
      </c>
      <c r="N22" s="138">
        <v>1595</v>
      </c>
      <c r="O22" s="138">
        <v>2523</v>
      </c>
      <c r="P22" s="138">
        <v>3022</v>
      </c>
      <c r="Q22" s="138">
        <v>2354</v>
      </c>
      <c r="R22" s="138">
        <v>3330</v>
      </c>
      <c r="S22" s="139">
        <f t="shared" si="4"/>
        <v>0.4146134239592183</v>
      </c>
      <c r="T22" s="138">
        <f t="shared" si="1"/>
        <v>976</v>
      </c>
      <c r="U22" s="139">
        <f t="shared" si="5"/>
        <v>7.006675121666207E-3</v>
      </c>
      <c r="V22" s="139">
        <f>IFERROR(R22/R21,"-")</f>
        <v>0.99760335530257638</v>
      </c>
    </row>
    <row r="23" spans="2:22" x14ac:dyDescent="0.25">
      <c r="B23" s="99" t="s">
        <v>142</v>
      </c>
      <c r="C23" s="53">
        <v>0</v>
      </c>
      <c r="D23" s="53">
        <v>0</v>
      </c>
      <c r="E23" s="53">
        <v>0</v>
      </c>
      <c r="F23" s="53">
        <v>0</v>
      </c>
      <c r="G23" s="53">
        <v>0</v>
      </c>
      <c r="H23" s="53">
        <v>0</v>
      </c>
      <c r="I23" s="100" t="str">
        <f t="shared" si="2"/>
        <v>-</v>
      </c>
      <c r="J23" s="53">
        <f t="shared" si="3"/>
        <v>0</v>
      </c>
      <c r="K23" s="100">
        <f t="shared" si="0"/>
        <v>0</v>
      </c>
      <c r="L23" s="100">
        <f>H23/H21</f>
        <v>0</v>
      </c>
      <c r="M23" s="53">
        <v>0</v>
      </c>
      <c r="N23" s="53">
        <v>0</v>
      </c>
      <c r="O23" s="53">
        <v>0</v>
      </c>
      <c r="P23" s="53">
        <v>0</v>
      </c>
      <c r="Q23" s="53">
        <v>0</v>
      </c>
      <c r="R23" s="53">
        <v>0</v>
      </c>
      <c r="S23" s="100" t="str">
        <f t="shared" si="4"/>
        <v>-</v>
      </c>
      <c r="T23" s="53">
        <f t="shared" si="1"/>
        <v>0</v>
      </c>
      <c r="U23" s="100">
        <f t="shared" si="5"/>
        <v>0</v>
      </c>
      <c r="V23" s="100">
        <f>IFERROR(R23/R21,"-")</f>
        <v>0</v>
      </c>
    </row>
    <row r="24" spans="2:22" x14ac:dyDescent="0.25">
      <c r="B24" s="99" t="s">
        <v>144</v>
      </c>
      <c r="C24" s="53">
        <v>0</v>
      </c>
      <c r="D24" s="53">
        <v>3463</v>
      </c>
      <c r="E24" s="53">
        <v>0</v>
      </c>
      <c r="F24" s="53">
        <v>0</v>
      </c>
      <c r="G24" s="53">
        <v>0</v>
      </c>
      <c r="H24" s="53">
        <v>0</v>
      </c>
      <c r="I24" s="100" t="str">
        <f t="shared" si="2"/>
        <v>-</v>
      </c>
      <c r="J24" s="53">
        <f t="shared" si="3"/>
        <v>0</v>
      </c>
      <c r="K24" s="100">
        <f t="shared" si="0"/>
        <v>0</v>
      </c>
      <c r="L24" s="100">
        <f>H24/H21</f>
        <v>0</v>
      </c>
      <c r="M24" s="53">
        <v>0</v>
      </c>
      <c r="N24" s="53">
        <v>0</v>
      </c>
      <c r="O24" s="53">
        <v>0</v>
      </c>
      <c r="P24" s="53">
        <v>0</v>
      </c>
      <c r="Q24" s="53">
        <v>0</v>
      </c>
      <c r="R24" s="53">
        <v>0</v>
      </c>
      <c r="S24" s="100" t="str">
        <f t="shared" si="4"/>
        <v>-</v>
      </c>
      <c r="T24" s="53">
        <f t="shared" si="1"/>
        <v>0</v>
      </c>
      <c r="U24" s="100">
        <f t="shared" si="5"/>
        <v>0</v>
      </c>
      <c r="V24" s="100">
        <f>IFERROR(R24/R21,"-")</f>
        <v>0</v>
      </c>
    </row>
    <row r="25" spans="2:22" ht="16.5" thickBot="1" x14ac:dyDescent="0.3">
      <c r="B25" s="140" t="s">
        <v>65</v>
      </c>
      <c r="C25" s="141">
        <v>1878</v>
      </c>
      <c r="D25" s="141">
        <v>0</v>
      </c>
      <c r="E25" s="141">
        <v>0</v>
      </c>
      <c r="F25" s="141">
        <v>0</v>
      </c>
      <c r="G25" s="141">
        <v>0</v>
      </c>
      <c r="H25" s="141">
        <v>0</v>
      </c>
      <c r="I25" s="142" t="str">
        <f t="shared" si="2"/>
        <v>-</v>
      </c>
      <c r="J25" s="141">
        <f t="shared" si="3"/>
        <v>0</v>
      </c>
      <c r="K25" s="142">
        <f t="shared" si="0"/>
        <v>0</v>
      </c>
      <c r="L25" s="142">
        <f>H25/H21</f>
        <v>0</v>
      </c>
      <c r="M25" s="141">
        <v>0</v>
      </c>
      <c r="N25" s="141">
        <v>0</v>
      </c>
      <c r="O25" s="141">
        <v>0</v>
      </c>
      <c r="P25" s="141">
        <v>0</v>
      </c>
      <c r="Q25" s="141">
        <v>0</v>
      </c>
      <c r="R25" s="141">
        <v>0</v>
      </c>
      <c r="S25" s="142" t="str">
        <f t="shared" si="4"/>
        <v>-</v>
      </c>
      <c r="T25" s="141">
        <f t="shared" si="1"/>
        <v>0</v>
      </c>
      <c r="U25" s="142">
        <f t="shared" si="5"/>
        <v>0</v>
      </c>
      <c r="V25" s="142">
        <f>IFERROR(R25/R21,"-")</f>
        <v>0</v>
      </c>
    </row>
    <row r="26" spans="2:22" ht="15.75" x14ac:dyDescent="0.25">
      <c r="B26" s="133" t="s">
        <v>49</v>
      </c>
      <c r="C26" s="134">
        <v>24073</v>
      </c>
      <c r="D26" s="134">
        <v>16999</v>
      </c>
      <c r="E26" s="134">
        <v>67366</v>
      </c>
      <c r="F26" s="134">
        <v>86656</v>
      </c>
      <c r="G26" s="134">
        <v>116855</v>
      </c>
      <c r="H26" s="134">
        <v>94193</v>
      </c>
      <c r="I26" s="135">
        <f t="shared" si="2"/>
        <v>-0.19393265157674044</v>
      </c>
      <c r="J26" s="134">
        <f t="shared" si="3"/>
        <v>-22662</v>
      </c>
      <c r="K26" s="135">
        <f t="shared" si="0"/>
        <v>3.5322039440625314E-2</v>
      </c>
      <c r="L26" s="136">
        <f>H26/H26</f>
        <v>1</v>
      </c>
      <c r="M26" s="134">
        <v>0</v>
      </c>
      <c r="N26" s="134">
        <v>3302</v>
      </c>
      <c r="O26" s="134">
        <v>10420</v>
      </c>
      <c r="P26" s="134">
        <v>14934</v>
      </c>
      <c r="Q26" s="134">
        <v>16055</v>
      </c>
      <c r="R26" s="134">
        <v>16193</v>
      </c>
      <c r="S26" s="135">
        <f t="shared" si="4"/>
        <v>8.595453129865982E-3</v>
      </c>
      <c r="T26" s="134">
        <f t="shared" si="1"/>
        <v>138</v>
      </c>
      <c r="U26" s="135">
        <f t="shared" si="5"/>
        <v>3.4625309816996401E-2</v>
      </c>
      <c r="V26" s="136">
        <f>IFERROR(R26/R26,"-")</f>
        <v>1</v>
      </c>
    </row>
    <row r="27" spans="2:22" ht="15.75" x14ac:dyDescent="0.25">
      <c r="B27" s="137" t="s">
        <v>62</v>
      </c>
      <c r="C27" s="138">
        <v>23335</v>
      </c>
      <c r="D27" s="138">
        <v>16603</v>
      </c>
      <c r="E27" s="138">
        <v>62155</v>
      </c>
      <c r="F27" s="138">
        <v>82441</v>
      </c>
      <c r="G27" s="138">
        <v>96861</v>
      </c>
      <c r="H27" s="138">
        <v>75400</v>
      </c>
      <c r="I27" s="139">
        <f t="shared" si="2"/>
        <v>-0.22156492293079777</v>
      </c>
      <c r="J27" s="138">
        <f t="shared" si="3"/>
        <v>-21461</v>
      </c>
      <c r="K27" s="139">
        <f t="shared" si="0"/>
        <v>2.8274731390051794E-2</v>
      </c>
      <c r="L27" s="139">
        <f>H27/H26</f>
        <v>0.80048411240750372</v>
      </c>
      <c r="M27" s="138">
        <v>0</v>
      </c>
      <c r="N27" s="138">
        <v>3239</v>
      </c>
      <c r="O27" s="138">
        <v>10004</v>
      </c>
      <c r="P27" s="138">
        <v>14510</v>
      </c>
      <c r="Q27" s="138">
        <v>12747</v>
      </c>
      <c r="R27" s="138">
        <v>13316</v>
      </c>
      <c r="S27" s="139">
        <f t="shared" si="4"/>
        <v>4.4637954028398763E-2</v>
      </c>
      <c r="T27" s="138">
        <f t="shared" si="1"/>
        <v>569</v>
      </c>
      <c r="U27" s="139">
        <f t="shared" si="5"/>
        <v>3.3642242228781156E-2</v>
      </c>
      <c r="V27" s="139">
        <f>IFERROR(R27/R26,"-")</f>
        <v>0.82233063669486817</v>
      </c>
    </row>
    <row r="28" spans="2:22" x14ac:dyDescent="0.25">
      <c r="B28" s="99" t="s">
        <v>142</v>
      </c>
      <c r="C28" s="53">
        <v>21395</v>
      </c>
      <c r="D28" s="53">
        <v>16603</v>
      </c>
      <c r="E28" s="53">
        <v>0</v>
      </c>
      <c r="F28" s="53">
        <v>21288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 t="shared" si="0"/>
        <v>0</v>
      </c>
      <c r="L28" s="100">
        <f>H28/H26</f>
        <v>0</v>
      </c>
      <c r="M28" s="53">
        <v>0</v>
      </c>
      <c r="N28" s="53">
        <v>3239</v>
      </c>
      <c r="O28" s="53">
        <v>0</v>
      </c>
      <c r="P28" s="53">
        <v>14510</v>
      </c>
      <c r="Q28" s="53">
        <v>0</v>
      </c>
      <c r="R28" s="53">
        <v>0</v>
      </c>
      <c r="S28" s="100" t="str">
        <f t="shared" si="4"/>
        <v>-</v>
      </c>
      <c r="T28" s="53">
        <f t="shared" si="1"/>
        <v>0</v>
      </c>
      <c r="U28" s="100">
        <f t="shared" si="5"/>
        <v>3.3642242228781156E-2</v>
      </c>
      <c r="V28" s="100">
        <f>IFERROR(R28/R26,"-")</f>
        <v>0</v>
      </c>
    </row>
    <row r="29" spans="2:22" ht="15.75" thickBot="1" x14ac:dyDescent="0.3">
      <c r="B29" s="99" t="s">
        <v>144</v>
      </c>
      <c r="C29" s="53">
        <v>1940</v>
      </c>
      <c r="D29" s="53">
        <v>0</v>
      </c>
      <c r="E29" s="53">
        <v>0</v>
      </c>
      <c r="F29" s="53">
        <v>0</v>
      </c>
      <c r="G29" s="53">
        <v>0</v>
      </c>
      <c r="H29" s="53">
        <v>0</v>
      </c>
      <c r="I29" s="100" t="str">
        <f t="shared" si="2"/>
        <v>-</v>
      </c>
      <c r="J29" s="53">
        <f t="shared" si="3"/>
        <v>0</v>
      </c>
      <c r="K29" s="100">
        <f t="shared" si="0"/>
        <v>0</v>
      </c>
      <c r="L29" s="100">
        <f>H29/H26</f>
        <v>0</v>
      </c>
      <c r="M29" s="53">
        <v>0</v>
      </c>
      <c r="N29" s="53">
        <v>0</v>
      </c>
      <c r="O29" s="53">
        <v>0</v>
      </c>
      <c r="P29" s="53">
        <v>0</v>
      </c>
      <c r="Q29" s="53">
        <v>0</v>
      </c>
      <c r="R29" s="53">
        <v>0</v>
      </c>
      <c r="S29" s="100" t="str">
        <f t="shared" si="4"/>
        <v>-</v>
      </c>
      <c r="T29" s="53">
        <f t="shared" si="1"/>
        <v>0</v>
      </c>
      <c r="U29" s="100">
        <f t="shared" si="5"/>
        <v>0</v>
      </c>
      <c r="V29" s="100">
        <f>IFERROR(R29/R26,"-")</f>
        <v>0</v>
      </c>
    </row>
    <row r="30" spans="2:22" ht="15.75" x14ac:dyDescent="0.25">
      <c r="B30" s="133" t="s">
        <v>50</v>
      </c>
      <c r="C30" s="134">
        <v>142242</v>
      </c>
      <c r="D30" s="134">
        <v>70082</v>
      </c>
      <c r="E30" s="134">
        <v>321332</v>
      </c>
      <c r="F30" s="134">
        <v>378937</v>
      </c>
      <c r="G30" s="134">
        <v>434631</v>
      </c>
      <c r="H30" s="134">
        <v>443938</v>
      </c>
      <c r="I30" s="135">
        <f t="shared" si="2"/>
        <v>2.1413566910781778E-2</v>
      </c>
      <c r="J30" s="134">
        <f t="shared" si="3"/>
        <v>9307</v>
      </c>
      <c r="K30" s="135">
        <f t="shared" si="0"/>
        <v>0.16647516848589938</v>
      </c>
      <c r="L30" s="136">
        <f>H30/H30</f>
        <v>1</v>
      </c>
      <c r="M30" s="134">
        <v>0</v>
      </c>
      <c r="N30" s="134">
        <v>25023</v>
      </c>
      <c r="O30" s="134">
        <v>63207</v>
      </c>
      <c r="P30" s="134">
        <v>71344</v>
      </c>
      <c r="Q30" s="134">
        <v>83393</v>
      </c>
      <c r="R30" s="134">
        <v>77257</v>
      </c>
      <c r="S30" s="135">
        <f t="shared" si="4"/>
        <v>-7.3579317208878448E-2</v>
      </c>
      <c r="T30" s="134">
        <f t="shared" si="1"/>
        <v>-6136</v>
      </c>
      <c r="U30" s="135">
        <f t="shared" si="5"/>
        <v>0.16541503305101055</v>
      </c>
      <c r="V30" s="136">
        <f>IFERROR(R30/R30,"-")</f>
        <v>1</v>
      </c>
    </row>
    <row r="31" spans="2:22" ht="15.75" x14ac:dyDescent="0.25">
      <c r="B31" s="137" t="s">
        <v>62</v>
      </c>
      <c r="C31" s="138">
        <v>116219</v>
      </c>
      <c r="D31" s="138">
        <v>51204</v>
      </c>
      <c r="E31" s="138">
        <v>261325</v>
      </c>
      <c r="F31" s="138">
        <v>306518</v>
      </c>
      <c r="G31" s="138">
        <v>353422</v>
      </c>
      <c r="H31" s="138">
        <v>351603</v>
      </c>
      <c r="I31" s="139">
        <f t="shared" si="2"/>
        <v>-5.1468216466433736E-3</v>
      </c>
      <c r="J31" s="138">
        <f t="shared" si="3"/>
        <v>-1819</v>
      </c>
      <c r="K31" s="139">
        <f t="shared" si="0"/>
        <v>0.13184987242621196</v>
      </c>
      <c r="L31" s="139">
        <f>H31/H30</f>
        <v>0.79200924453414667</v>
      </c>
      <c r="M31" s="138">
        <v>0</v>
      </c>
      <c r="N31" s="138">
        <v>18500</v>
      </c>
      <c r="O31" s="138">
        <v>51223</v>
      </c>
      <c r="P31" s="138">
        <v>57186</v>
      </c>
      <c r="Q31" s="138">
        <v>66284</v>
      </c>
      <c r="R31" s="138">
        <v>58629</v>
      </c>
      <c r="S31" s="139">
        <f t="shared" si="4"/>
        <v>-0.11548790054915214</v>
      </c>
      <c r="T31" s="138">
        <f t="shared" si="1"/>
        <v>-7655</v>
      </c>
      <c r="U31" s="139">
        <f t="shared" si="5"/>
        <v>0.13258892240489864</v>
      </c>
      <c r="V31" s="139">
        <f>IFERROR(R31/R30,"-")</f>
        <v>0.758882690241661</v>
      </c>
    </row>
    <row r="32" spans="2:22" x14ac:dyDescent="0.25">
      <c r="B32" s="99" t="s">
        <v>142</v>
      </c>
      <c r="C32" s="53">
        <v>93394</v>
      </c>
      <c r="D32" s="53">
        <v>30999</v>
      </c>
      <c r="E32" s="53">
        <v>210056</v>
      </c>
      <c r="F32" s="53">
        <v>256421</v>
      </c>
      <c r="G32" s="53">
        <v>297132</v>
      </c>
      <c r="H32" s="53">
        <v>291861</v>
      </c>
      <c r="I32" s="100">
        <f t="shared" si="2"/>
        <v>-1.7739590485036927E-2</v>
      </c>
      <c r="J32" s="53">
        <f t="shared" si="3"/>
        <v>-5271</v>
      </c>
      <c r="K32" s="100">
        <f t="shared" si="0"/>
        <v>0.10944683525506507</v>
      </c>
      <c r="L32" s="100">
        <f>H32/H30</f>
        <v>0.65743639877640569</v>
      </c>
      <c r="M32" s="53">
        <v>0</v>
      </c>
      <c r="N32" s="53">
        <v>12260</v>
      </c>
      <c r="O32" s="53">
        <v>43291</v>
      </c>
      <c r="P32" s="53">
        <v>47732</v>
      </c>
      <c r="Q32" s="53">
        <v>55532</v>
      </c>
      <c r="R32" s="53">
        <v>47404</v>
      </c>
      <c r="S32" s="100">
        <f t="shared" si="4"/>
        <v>-0.14636605920910462</v>
      </c>
      <c r="T32" s="53">
        <f t="shared" si="1"/>
        <v>-8128</v>
      </c>
      <c r="U32" s="100">
        <f t="shared" si="5"/>
        <v>0.11066929745445778</v>
      </c>
      <c r="V32" s="100">
        <f>IFERROR(R32/R30,"-")</f>
        <v>0.61358841270046727</v>
      </c>
    </row>
    <row r="33" spans="2:22" x14ac:dyDescent="0.25">
      <c r="B33" s="99" t="s">
        <v>144</v>
      </c>
      <c r="C33" s="53">
        <v>22825</v>
      </c>
      <c r="D33" s="53">
        <v>20205</v>
      </c>
      <c r="E33" s="53">
        <v>51269</v>
      </c>
      <c r="F33" s="53">
        <v>50097</v>
      </c>
      <c r="G33" s="53">
        <v>56290</v>
      </c>
      <c r="H33" s="53">
        <v>59742</v>
      </c>
      <c r="I33" s="100">
        <f t="shared" si="2"/>
        <v>6.1325279801030419E-2</v>
      </c>
      <c r="J33" s="53">
        <f t="shared" si="3"/>
        <v>3452</v>
      </c>
      <c r="K33" s="100">
        <f t="shared" si="0"/>
        <v>2.2403037171146875E-2</v>
      </c>
      <c r="L33" s="100">
        <f>H33/H30</f>
        <v>0.13457284575774095</v>
      </c>
      <c r="M33" s="53">
        <v>0</v>
      </c>
      <c r="N33" s="53">
        <v>6240</v>
      </c>
      <c r="O33" s="53">
        <v>7932</v>
      </c>
      <c r="P33" s="53">
        <v>9454</v>
      </c>
      <c r="Q33" s="53">
        <v>10752</v>
      </c>
      <c r="R33" s="53">
        <v>11225</v>
      </c>
      <c r="S33" s="100">
        <f t="shared" si="4"/>
        <v>4.3991815476190466E-2</v>
      </c>
      <c r="T33" s="53">
        <f t="shared" si="1"/>
        <v>473</v>
      </c>
      <c r="U33" s="100">
        <f t="shared" si="5"/>
        <v>2.1919624950440874E-2</v>
      </c>
      <c r="V33" s="100">
        <f>IFERROR(R33/R30,"-")</f>
        <v>0.14529427754119367</v>
      </c>
    </row>
    <row r="34" spans="2:22" ht="16.5" thickBot="1" x14ac:dyDescent="0.3">
      <c r="B34" s="140" t="s">
        <v>65</v>
      </c>
      <c r="C34" s="141">
        <v>26023</v>
      </c>
      <c r="D34" s="141">
        <v>18878</v>
      </c>
      <c r="E34" s="141">
        <v>60007</v>
      </c>
      <c r="F34" s="141">
        <v>72419</v>
      </c>
      <c r="G34" s="141">
        <v>81209</v>
      </c>
      <c r="H34" s="141">
        <v>92335</v>
      </c>
      <c r="I34" s="142">
        <f t="shared" si="2"/>
        <v>0.13700451920353651</v>
      </c>
      <c r="J34" s="141">
        <f t="shared" si="3"/>
        <v>11126</v>
      </c>
      <c r="K34" s="142">
        <f t="shared" si="0"/>
        <v>3.4625296059687435E-2</v>
      </c>
      <c r="L34" s="142">
        <f>H34/H30</f>
        <v>0.20799075546585333</v>
      </c>
      <c r="M34" s="141">
        <v>0</v>
      </c>
      <c r="N34" s="141">
        <v>6523</v>
      </c>
      <c r="O34" s="141">
        <v>11984</v>
      </c>
      <c r="P34" s="141">
        <v>14158</v>
      </c>
      <c r="Q34" s="141">
        <v>17109</v>
      </c>
      <c r="R34" s="141">
        <v>18628</v>
      </c>
      <c r="S34" s="142">
        <f t="shared" si="4"/>
        <v>8.8783681103512757E-2</v>
      </c>
      <c r="T34" s="141">
        <f t="shared" si="1"/>
        <v>1519</v>
      </c>
      <c r="U34" s="142">
        <f t="shared" si="5"/>
        <v>3.2826110646111899E-2</v>
      </c>
      <c r="V34" s="142">
        <f>IFERROR(R34/R30,"-")</f>
        <v>0.24111730975833906</v>
      </c>
    </row>
    <row r="35" spans="2:22" ht="15.75" x14ac:dyDescent="0.25">
      <c r="B35" s="133" t="s">
        <v>51</v>
      </c>
      <c r="C35" s="134">
        <v>12754</v>
      </c>
      <c r="D35" s="134">
        <v>11802</v>
      </c>
      <c r="E35" s="134">
        <v>24671</v>
      </c>
      <c r="F35" s="134">
        <v>30683</v>
      </c>
      <c r="G35" s="134">
        <v>29198</v>
      </c>
      <c r="H35" s="134">
        <v>28272</v>
      </c>
      <c r="I35" s="135">
        <f t="shared" si="2"/>
        <v>-3.1714500993218708E-2</v>
      </c>
      <c r="J35" s="134">
        <f t="shared" si="3"/>
        <v>-926</v>
      </c>
      <c r="K35" s="135">
        <f t="shared" si="0"/>
        <v>1.0601899281956822E-2</v>
      </c>
      <c r="L35" s="136">
        <f>H35/H35</f>
        <v>1</v>
      </c>
      <c r="M35" s="134">
        <v>0</v>
      </c>
      <c r="N35" s="134">
        <v>2494</v>
      </c>
      <c r="O35" s="134">
        <v>4520</v>
      </c>
      <c r="P35" s="134">
        <v>4181</v>
      </c>
      <c r="Q35" s="134">
        <v>3964</v>
      </c>
      <c r="R35" s="134">
        <v>4119</v>
      </c>
      <c r="S35" s="135">
        <f t="shared" si="4"/>
        <v>3.9101917255297769E-2</v>
      </c>
      <c r="T35" s="134">
        <f t="shared" si="1"/>
        <v>155</v>
      </c>
      <c r="U35" s="135">
        <f t="shared" si="5"/>
        <v>9.6938810998300502E-3</v>
      </c>
      <c r="V35" s="136">
        <f>IFERROR(R35/R35,"-")</f>
        <v>1</v>
      </c>
    </row>
    <row r="36" spans="2:22" ht="15.75" x14ac:dyDescent="0.25">
      <c r="B36" s="137" t="s">
        <v>62</v>
      </c>
      <c r="C36" s="138">
        <v>12754</v>
      </c>
      <c r="D36" s="138">
        <v>11802</v>
      </c>
      <c r="E36" s="138">
        <v>24671</v>
      </c>
      <c r="F36" s="138">
        <v>30683</v>
      </c>
      <c r="G36" s="138">
        <v>29198</v>
      </c>
      <c r="H36" s="138">
        <v>28272</v>
      </c>
      <c r="I36" s="139">
        <f t="shared" si="2"/>
        <v>-3.1714500993218708E-2</v>
      </c>
      <c r="J36" s="138">
        <f t="shared" si="3"/>
        <v>-926</v>
      </c>
      <c r="K36" s="139">
        <f t="shared" si="0"/>
        <v>1.0601899281956822E-2</v>
      </c>
      <c r="L36" s="139">
        <f>H36/H35</f>
        <v>1</v>
      </c>
      <c r="M36" s="138">
        <v>0</v>
      </c>
      <c r="N36" s="138">
        <v>2494</v>
      </c>
      <c r="O36" s="138">
        <v>4520</v>
      </c>
      <c r="P36" s="138">
        <v>4181</v>
      </c>
      <c r="Q36" s="138">
        <v>3964</v>
      </c>
      <c r="R36" s="138">
        <v>4119</v>
      </c>
      <c r="S36" s="139">
        <f t="shared" si="4"/>
        <v>3.9101917255297769E-2</v>
      </c>
      <c r="T36" s="138">
        <f t="shared" si="1"/>
        <v>155</v>
      </c>
      <c r="U36" s="139">
        <f t="shared" si="5"/>
        <v>9.6938810998300502E-3</v>
      </c>
      <c r="V36" s="139">
        <f>IFERROR(R36/R35,"-")</f>
        <v>1</v>
      </c>
    </row>
    <row r="37" spans="2:22" x14ac:dyDescent="0.25">
      <c r="B37" s="99" t="s">
        <v>142</v>
      </c>
      <c r="C37" s="53">
        <v>8693</v>
      </c>
      <c r="D37" s="53">
        <v>0</v>
      </c>
      <c r="E37" s="53">
        <v>10845</v>
      </c>
      <c r="F37" s="53">
        <v>26674</v>
      </c>
      <c r="G37" s="53">
        <v>25280</v>
      </c>
      <c r="H37" s="53">
        <v>23778</v>
      </c>
      <c r="I37" s="100">
        <f t="shared" si="2"/>
        <v>-5.9414556962025356E-2</v>
      </c>
      <c r="J37" s="53">
        <f t="shared" si="3"/>
        <v>-1502</v>
      </c>
      <c r="K37" s="100">
        <f t="shared" si="0"/>
        <v>8.9166652916797297E-3</v>
      </c>
      <c r="L37" s="100">
        <f>H37/H35</f>
        <v>0.84104414261460103</v>
      </c>
      <c r="M37" s="53">
        <v>0</v>
      </c>
      <c r="N37" s="53">
        <v>0</v>
      </c>
      <c r="O37" s="53">
        <v>4107</v>
      </c>
      <c r="P37" s="53">
        <v>3719</v>
      </c>
      <c r="Q37" s="53">
        <v>3480</v>
      </c>
      <c r="R37" s="53">
        <v>3490</v>
      </c>
      <c r="S37" s="100">
        <f t="shared" si="4"/>
        <v>2.8735632183907178E-3</v>
      </c>
      <c r="T37" s="53">
        <f t="shared" si="1"/>
        <v>10</v>
      </c>
      <c r="U37" s="100">
        <f t="shared" si="5"/>
        <v>8.622708397576645E-3</v>
      </c>
      <c r="V37" s="100">
        <f>IFERROR(R37/R35,"-")</f>
        <v>0.84729303228939068</v>
      </c>
    </row>
    <row r="38" spans="2:22" ht="15.75" thickBot="1" x14ac:dyDescent="0.3">
      <c r="B38" s="99" t="s">
        <v>144</v>
      </c>
      <c r="C38" s="53">
        <v>4061</v>
      </c>
      <c r="D38" s="53">
        <v>0</v>
      </c>
      <c r="E38" s="53">
        <v>1382</v>
      </c>
      <c r="F38" s="53">
        <v>4009</v>
      </c>
      <c r="G38" s="53">
        <v>3918</v>
      </c>
      <c r="H38" s="53">
        <v>4494</v>
      </c>
      <c r="I38" s="100">
        <f t="shared" si="2"/>
        <v>0.14701378254211339</v>
      </c>
      <c r="J38" s="53">
        <f t="shared" si="3"/>
        <v>576</v>
      </c>
      <c r="K38" s="100">
        <f t="shared" si="0"/>
        <v>1.6852339902770923E-3</v>
      </c>
      <c r="L38" s="100">
        <f>H38/H35</f>
        <v>0.15895585738539897</v>
      </c>
      <c r="M38" s="53">
        <v>0</v>
      </c>
      <c r="N38" s="53">
        <v>0</v>
      </c>
      <c r="O38" s="53">
        <v>413</v>
      </c>
      <c r="P38" s="53">
        <v>462</v>
      </c>
      <c r="Q38" s="53">
        <v>484</v>
      </c>
      <c r="R38" s="53">
        <v>629</v>
      </c>
      <c r="S38" s="100">
        <f t="shared" si="4"/>
        <v>0.29958677685950419</v>
      </c>
      <c r="T38" s="53">
        <f t="shared" si="1"/>
        <v>145</v>
      </c>
      <c r="U38" s="100">
        <f t="shared" si="5"/>
        <v>1.0711727022534043E-3</v>
      </c>
      <c r="V38" s="100">
        <f>IFERROR(R38/R35,"-")</f>
        <v>0.15270696771060938</v>
      </c>
    </row>
    <row r="39" spans="2:22" ht="15.75" x14ac:dyDescent="0.25">
      <c r="B39" s="133" t="s">
        <v>52</v>
      </c>
      <c r="C39" s="134">
        <v>36009</v>
      </c>
      <c r="D39" s="134">
        <v>32678</v>
      </c>
      <c r="E39" s="134">
        <v>92080</v>
      </c>
      <c r="F39" s="134">
        <v>126756</v>
      </c>
      <c r="G39" s="134">
        <v>118276</v>
      </c>
      <c r="H39" s="134">
        <v>128577</v>
      </c>
      <c r="I39" s="135">
        <f t="shared" si="2"/>
        <v>8.7092901349386187E-2</v>
      </c>
      <c r="J39" s="134">
        <f t="shared" si="3"/>
        <v>10301</v>
      </c>
      <c r="K39" s="135">
        <f t="shared" si="0"/>
        <v>4.8215916948788989E-2</v>
      </c>
      <c r="L39" s="136">
        <f>H39/H39</f>
        <v>1</v>
      </c>
      <c r="M39" s="134">
        <v>0</v>
      </c>
      <c r="N39" s="134">
        <v>12758</v>
      </c>
      <c r="O39" s="134">
        <v>13606</v>
      </c>
      <c r="P39" s="134">
        <v>22097</v>
      </c>
      <c r="Q39" s="134">
        <v>19721</v>
      </c>
      <c r="R39" s="134">
        <v>20354</v>
      </c>
      <c r="S39" s="135">
        <f t="shared" si="4"/>
        <v>3.2097763805080781E-2</v>
      </c>
      <c r="T39" s="134">
        <f t="shared" si="1"/>
        <v>633</v>
      </c>
      <c r="U39" s="135">
        <f t="shared" si="5"/>
        <v>5.1233123813189334E-2</v>
      </c>
      <c r="V39" s="136">
        <f>IFERROR(R39/R39,"-")</f>
        <v>1</v>
      </c>
    </row>
    <row r="40" spans="2:22" ht="15.75" x14ac:dyDescent="0.25">
      <c r="B40" s="137" t="s">
        <v>62</v>
      </c>
      <c r="C40" s="138">
        <v>22627</v>
      </c>
      <c r="D40" s="138">
        <v>30374</v>
      </c>
      <c r="E40" s="138">
        <v>79606</v>
      </c>
      <c r="F40" s="138">
        <v>111862</v>
      </c>
      <c r="G40" s="138">
        <v>103725</v>
      </c>
      <c r="H40" s="138">
        <v>112596</v>
      </c>
      <c r="I40" s="139">
        <f t="shared" si="2"/>
        <v>8.5524222704266073E-2</v>
      </c>
      <c r="J40" s="138">
        <f t="shared" si="3"/>
        <v>8871</v>
      </c>
      <c r="K40" s="139">
        <f t="shared" si="0"/>
        <v>4.2223098880560632E-2</v>
      </c>
      <c r="L40" s="139">
        <f>H40/H39</f>
        <v>0.87570871928883087</v>
      </c>
      <c r="M40" s="138">
        <v>0</v>
      </c>
      <c r="N40" s="138">
        <v>12413</v>
      </c>
      <c r="O40" s="138">
        <v>11319</v>
      </c>
      <c r="P40" s="138">
        <v>19134</v>
      </c>
      <c r="Q40" s="138">
        <v>17089</v>
      </c>
      <c r="R40" s="138">
        <v>17337</v>
      </c>
      <c r="S40" s="139">
        <f t="shared" si="4"/>
        <v>1.4512259348118617E-2</v>
      </c>
      <c r="T40" s="138">
        <f t="shared" si="1"/>
        <v>248</v>
      </c>
      <c r="U40" s="139">
        <f t="shared" si="5"/>
        <v>4.4363243473845536E-2</v>
      </c>
      <c r="V40" s="139">
        <f>IFERROR(R40/R39,"-")</f>
        <v>0.85177360715338513</v>
      </c>
    </row>
    <row r="41" spans="2:22" x14ac:dyDescent="0.25">
      <c r="B41" s="99" t="s">
        <v>142</v>
      </c>
      <c r="C41" s="53">
        <v>22627</v>
      </c>
      <c r="D41" s="53">
        <v>0</v>
      </c>
      <c r="E41" s="53">
        <v>0</v>
      </c>
      <c r="F41" s="53">
        <v>0</v>
      </c>
      <c r="G41" s="53">
        <v>0</v>
      </c>
      <c r="H41" s="53">
        <v>0</v>
      </c>
      <c r="I41" s="100" t="str">
        <f t="shared" si="2"/>
        <v>-</v>
      </c>
      <c r="J41" s="53">
        <f t="shared" si="3"/>
        <v>0</v>
      </c>
      <c r="K41" s="100">
        <f t="shared" si="0"/>
        <v>0</v>
      </c>
      <c r="L41" s="100">
        <f>H41/H39</f>
        <v>0</v>
      </c>
      <c r="M41" s="53">
        <v>0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100" t="str">
        <f t="shared" si="4"/>
        <v>-</v>
      </c>
      <c r="T41" s="53">
        <f t="shared" si="1"/>
        <v>0</v>
      </c>
      <c r="U41" s="100">
        <f t="shared" si="5"/>
        <v>0</v>
      </c>
      <c r="V41" s="100">
        <f>IFERROR(R41/R39,"-")</f>
        <v>0</v>
      </c>
    </row>
    <row r="42" spans="2:22" x14ac:dyDescent="0.25">
      <c r="B42" s="99" t="s">
        <v>144</v>
      </c>
      <c r="C42" s="53">
        <v>0</v>
      </c>
      <c r="D42" s="53">
        <v>0</v>
      </c>
      <c r="E42" s="53">
        <v>0</v>
      </c>
      <c r="F42" s="53">
        <v>0</v>
      </c>
      <c r="G42" s="53">
        <v>0</v>
      </c>
      <c r="H42" s="53">
        <v>0</v>
      </c>
      <c r="I42" s="100" t="str">
        <f t="shared" si="2"/>
        <v>-</v>
      </c>
      <c r="J42" s="53">
        <f t="shared" si="3"/>
        <v>0</v>
      </c>
      <c r="K42" s="100">
        <f t="shared" si="0"/>
        <v>0</v>
      </c>
      <c r="L42" s="100">
        <f>H42/H39</f>
        <v>0</v>
      </c>
      <c r="M42" s="53">
        <v>0</v>
      </c>
      <c r="N42" s="53">
        <v>0</v>
      </c>
      <c r="O42" s="53">
        <v>0</v>
      </c>
      <c r="P42" s="53">
        <v>0</v>
      </c>
      <c r="Q42" s="53">
        <v>0</v>
      </c>
      <c r="R42" s="53">
        <v>0</v>
      </c>
      <c r="S42" s="100" t="str">
        <f t="shared" si="4"/>
        <v>-</v>
      </c>
      <c r="T42" s="53">
        <f t="shared" si="1"/>
        <v>0</v>
      </c>
      <c r="U42" s="100">
        <f t="shared" si="5"/>
        <v>0</v>
      </c>
      <c r="V42" s="100">
        <f>IFERROR(R42/R39,"-")</f>
        <v>0</v>
      </c>
    </row>
    <row r="43" spans="2:22" ht="16.5" thickBot="1" x14ac:dyDescent="0.3">
      <c r="B43" s="140" t="s">
        <v>65</v>
      </c>
      <c r="C43" s="141">
        <v>13382</v>
      </c>
      <c r="D43" s="141">
        <v>379</v>
      </c>
      <c r="E43" s="141">
        <v>12474</v>
      </c>
      <c r="F43" s="141">
        <v>14894</v>
      </c>
      <c r="G43" s="141">
        <v>14551</v>
      </c>
      <c r="H43" s="141">
        <v>15981</v>
      </c>
      <c r="I43" s="142">
        <f t="shared" si="2"/>
        <v>9.8275032643804439E-2</v>
      </c>
      <c r="J43" s="141">
        <f t="shared" si="3"/>
        <v>1430</v>
      </c>
      <c r="K43" s="142">
        <f t="shared" si="0"/>
        <v>5.9928180682283522E-3</v>
      </c>
      <c r="L43" s="142">
        <f>H43/H39</f>
        <v>0.12429128071116918</v>
      </c>
      <c r="M43" s="141">
        <v>0</v>
      </c>
      <c r="N43" s="141">
        <v>345</v>
      </c>
      <c r="O43" s="141">
        <v>2287</v>
      </c>
      <c r="P43" s="141">
        <v>2963</v>
      </c>
      <c r="Q43" s="141">
        <v>2632</v>
      </c>
      <c r="R43" s="141">
        <v>3017</v>
      </c>
      <c r="S43" s="142">
        <f t="shared" si="4"/>
        <v>0.14627659574468077</v>
      </c>
      <c r="T43" s="141">
        <f t="shared" si="1"/>
        <v>385</v>
      </c>
      <c r="U43" s="142">
        <f t="shared" si="5"/>
        <v>6.8698803393438023E-3</v>
      </c>
      <c r="V43" s="142">
        <f>IFERROR(R43/R39,"-")</f>
        <v>0.14822639284661493</v>
      </c>
    </row>
    <row r="44" spans="2:22" ht="15.75" x14ac:dyDescent="0.25">
      <c r="B44" s="133" t="s">
        <v>53</v>
      </c>
      <c r="C44" s="134">
        <v>52853</v>
      </c>
      <c r="D44" s="134">
        <v>58803</v>
      </c>
      <c r="E44" s="134">
        <v>104421</v>
      </c>
      <c r="F44" s="134">
        <v>126576</v>
      </c>
      <c r="G44" s="134">
        <v>125410</v>
      </c>
      <c r="H44" s="134">
        <v>140761</v>
      </c>
      <c r="I44" s="135">
        <f t="shared" si="2"/>
        <v>0.12240650665816122</v>
      </c>
      <c r="J44" s="134">
        <f t="shared" si="3"/>
        <v>15351</v>
      </c>
      <c r="K44" s="135">
        <f t="shared" si="0"/>
        <v>5.2784873543701337E-2</v>
      </c>
      <c r="L44" s="136">
        <f>H44/H44</f>
        <v>1</v>
      </c>
      <c r="M44" s="134">
        <v>0</v>
      </c>
      <c r="N44" s="134">
        <v>13541</v>
      </c>
      <c r="O44" s="134">
        <v>17608</v>
      </c>
      <c r="P44" s="134">
        <v>17983</v>
      </c>
      <c r="Q44" s="134">
        <v>19479</v>
      </c>
      <c r="R44" s="134">
        <v>20873</v>
      </c>
      <c r="S44" s="135">
        <f t="shared" si="4"/>
        <v>7.1564248678063658E-2</v>
      </c>
      <c r="T44" s="134">
        <f t="shared" si="1"/>
        <v>1394</v>
      </c>
      <c r="U44" s="135">
        <f t="shared" si="5"/>
        <v>4.1694585940742358E-2</v>
      </c>
      <c r="V44" s="136">
        <f>IFERROR(R44/R44,"-")</f>
        <v>1</v>
      </c>
    </row>
    <row r="45" spans="2:22" ht="15.75" x14ac:dyDescent="0.25">
      <c r="B45" s="137" t="s">
        <v>62</v>
      </c>
      <c r="C45" s="138">
        <v>52853</v>
      </c>
      <c r="D45" s="138">
        <v>58803</v>
      </c>
      <c r="E45" s="138">
        <v>104421</v>
      </c>
      <c r="F45" s="138">
        <v>126576</v>
      </c>
      <c r="G45" s="138">
        <v>125410</v>
      </c>
      <c r="H45" s="138">
        <v>140761</v>
      </c>
      <c r="I45" s="139">
        <f t="shared" si="2"/>
        <v>0.12240650665816122</v>
      </c>
      <c r="J45" s="138">
        <f t="shared" si="3"/>
        <v>15351</v>
      </c>
      <c r="K45" s="139">
        <f t="shared" si="0"/>
        <v>5.2784873543701337E-2</v>
      </c>
      <c r="L45" s="139">
        <f>H45/H44</f>
        <v>1</v>
      </c>
      <c r="M45" s="138">
        <v>0</v>
      </c>
      <c r="N45" s="138">
        <v>13541</v>
      </c>
      <c r="O45" s="138">
        <v>17608</v>
      </c>
      <c r="P45" s="138">
        <v>17983</v>
      </c>
      <c r="Q45" s="138">
        <v>19479</v>
      </c>
      <c r="R45" s="138">
        <v>20873</v>
      </c>
      <c r="S45" s="139">
        <f t="shared" si="4"/>
        <v>7.1564248678063658E-2</v>
      </c>
      <c r="T45" s="138">
        <f t="shared" si="1"/>
        <v>1394</v>
      </c>
      <c r="U45" s="139">
        <f t="shared" si="5"/>
        <v>4.1694585940742358E-2</v>
      </c>
      <c r="V45" s="139">
        <f>IFERROR(R45/R44,"-")</f>
        <v>1</v>
      </c>
    </row>
    <row r="46" spans="2:22" x14ac:dyDescent="0.25">
      <c r="B46" s="99" t="s">
        <v>142</v>
      </c>
      <c r="C46" s="53">
        <v>26292</v>
      </c>
      <c r="D46" s="53">
        <v>34867</v>
      </c>
      <c r="E46" s="53">
        <v>64125</v>
      </c>
      <c r="F46" s="53">
        <v>75573</v>
      </c>
      <c r="G46" s="53">
        <v>72479</v>
      </c>
      <c r="H46" s="53">
        <v>91652</v>
      </c>
      <c r="I46" s="100">
        <f t="shared" si="2"/>
        <v>0.26453179541660332</v>
      </c>
      <c r="J46" s="53">
        <f t="shared" si="3"/>
        <v>19173</v>
      </c>
      <c r="K46" s="100">
        <f t="shared" si="0"/>
        <v>3.4369173492851818E-2</v>
      </c>
      <c r="L46" s="100">
        <f>H46/H44</f>
        <v>0.6511178522460056</v>
      </c>
      <c r="M46" s="53">
        <v>0</v>
      </c>
      <c r="N46" s="53">
        <v>9155</v>
      </c>
      <c r="O46" s="53">
        <v>10141</v>
      </c>
      <c r="P46" s="53">
        <v>10170</v>
      </c>
      <c r="Q46" s="53">
        <v>11059</v>
      </c>
      <c r="R46" s="53">
        <v>14375</v>
      </c>
      <c r="S46" s="100">
        <f t="shared" si="4"/>
        <v>0.29984627904873862</v>
      </c>
      <c r="T46" s="53">
        <f t="shared" si="1"/>
        <v>3316</v>
      </c>
      <c r="U46" s="100">
        <f t="shared" si="5"/>
        <v>2.3579710783370393E-2</v>
      </c>
      <c r="V46" s="100">
        <f>IFERROR(R46/R44,"-")</f>
        <v>0.68868873664542707</v>
      </c>
    </row>
    <row r="47" spans="2:22" ht="15.75" thickBot="1" x14ac:dyDescent="0.3">
      <c r="B47" s="99" t="s">
        <v>144</v>
      </c>
      <c r="C47" s="53">
        <v>26561</v>
      </c>
      <c r="D47" s="53">
        <v>23936</v>
      </c>
      <c r="E47" s="53">
        <v>40296</v>
      </c>
      <c r="F47" s="53">
        <v>51003</v>
      </c>
      <c r="G47" s="53">
        <v>52931</v>
      </c>
      <c r="H47" s="53">
        <v>49109</v>
      </c>
      <c r="I47" s="100">
        <f t="shared" si="2"/>
        <v>-7.2207213164308226E-2</v>
      </c>
      <c r="J47" s="53">
        <f t="shared" si="3"/>
        <v>-3822</v>
      </c>
      <c r="K47" s="100">
        <f t="shared" si="0"/>
        <v>1.8415700050849516E-2</v>
      </c>
      <c r="L47" s="100">
        <f>H47/H44</f>
        <v>0.34888214775399434</v>
      </c>
      <c r="M47" s="53">
        <v>0</v>
      </c>
      <c r="N47" s="53">
        <v>4386</v>
      </c>
      <c r="O47" s="53">
        <v>7467</v>
      </c>
      <c r="P47" s="53">
        <v>7813</v>
      </c>
      <c r="Q47" s="53">
        <v>8420</v>
      </c>
      <c r="R47" s="53">
        <v>6498</v>
      </c>
      <c r="S47" s="100">
        <f t="shared" si="4"/>
        <v>-0.22826603325415673</v>
      </c>
      <c r="T47" s="53">
        <f t="shared" si="1"/>
        <v>-1922</v>
      </c>
      <c r="U47" s="100">
        <f t="shared" si="5"/>
        <v>1.8114875157371965E-2</v>
      </c>
      <c r="V47" s="100">
        <f>IFERROR(R47/R44,"-")</f>
        <v>0.31131126335457288</v>
      </c>
    </row>
    <row r="48" spans="2:22" ht="15.75" x14ac:dyDescent="0.25">
      <c r="B48" s="133" t="s">
        <v>54</v>
      </c>
      <c r="C48" s="134">
        <v>52299</v>
      </c>
      <c r="D48" s="134">
        <v>33859</v>
      </c>
      <c r="E48" s="134">
        <v>122526</v>
      </c>
      <c r="F48" s="134">
        <v>133361</v>
      </c>
      <c r="G48" s="134">
        <v>142422</v>
      </c>
      <c r="H48" s="134">
        <v>136065</v>
      </c>
      <c r="I48" s="135">
        <f t="shared" si="2"/>
        <v>-4.4634958082318765E-2</v>
      </c>
      <c r="J48" s="134">
        <f t="shared" si="3"/>
        <v>-6357</v>
      </c>
      <c r="K48" s="135">
        <f t="shared" si="0"/>
        <v>5.1023890273042403E-2</v>
      </c>
      <c r="L48" s="136">
        <f>H48/H48</f>
        <v>1</v>
      </c>
      <c r="M48" s="134">
        <v>0</v>
      </c>
      <c r="N48" s="134">
        <v>3802</v>
      </c>
      <c r="O48" s="134">
        <v>18886</v>
      </c>
      <c r="P48" s="134">
        <v>21065</v>
      </c>
      <c r="Q48" s="134">
        <v>22841</v>
      </c>
      <c r="R48" s="134">
        <v>23159</v>
      </c>
      <c r="S48" s="135">
        <f t="shared" si="4"/>
        <v>1.3922332647432256E-2</v>
      </c>
      <c r="T48" s="134">
        <f t="shared" si="1"/>
        <v>318</v>
      </c>
      <c r="U48" s="135">
        <f t="shared" si="5"/>
        <v>4.8840374400363547E-2</v>
      </c>
      <c r="V48" s="136">
        <f>IFERROR(R48/R48,"-")</f>
        <v>1</v>
      </c>
    </row>
    <row r="49" spans="2:22" ht="15.75" x14ac:dyDescent="0.25">
      <c r="B49" s="137" t="s">
        <v>62</v>
      </c>
      <c r="C49" s="138">
        <v>39287</v>
      </c>
      <c r="D49" s="138">
        <v>27596</v>
      </c>
      <c r="E49" s="138">
        <v>101147</v>
      </c>
      <c r="F49" s="138">
        <v>110205</v>
      </c>
      <c r="G49" s="138">
        <v>117985</v>
      </c>
      <c r="H49" s="138">
        <v>110668</v>
      </c>
      <c r="I49" s="139">
        <f t="shared" si="2"/>
        <v>-6.201635801161165E-2</v>
      </c>
      <c r="J49" s="138">
        <f t="shared" si="3"/>
        <v>-7317</v>
      </c>
      <c r="K49" s="139">
        <f t="shared" si="0"/>
        <v>4.1500105748995382E-2</v>
      </c>
      <c r="L49" s="139">
        <f>H49/H48</f>
        <v>0.81334656230478075</v>
      </c>
      <c r="M49" s="138">
        <v>0</v>
      </c>
      <c r="N49" s="138">
        <v>2370</v>
      </c>
      <c r="O49" s="138">
        <v>15881</v>
      </c>
      <c r="P49" s="138">
        <v>17783</v>
      </c>
      <c r="Q49" s="138">
        <v>19273</v>
      </c>
      <c r="R49" s="138">
        <v>19200</v>
      </c>
      <c r="S49" s="139">
        <f t="shared" si="4"/>
        <v>-3.7876822497794338E-3</v>
      </c>
      <c r="T49" s="138">
        <f t="shared" si="1"/>
        <v>-73</v>
      </c>
      <c r="U49" s="139">
        <f t="shared" si="5"/>
        <v>4.1230874814225729E-2</v>
      </c>
      <c r="V49" s="139">
        <f>IFERROR(R49/R48,"-")</f>
        <v>0.82905134073146514</v>
      </c>
    </row>
    <row r="50" spans="2:22" x14ac:dyDescent="0.25">
      <c r="B50" s="99" t="s">
        <v>142</v>
      </c>
      <c r="C50" s="53">
        <v>32534</v>
      </c>
      <c r="D50" s="53">
        <v>0</v>
      </c>
      <c r="E50" s="53">
        <v>77628</v>
      </c>
      <c r="F50" s="53">
        <v>87658</v>
      </c>
      <c r="G50" s="53">
        <v>92306</v>
      </c>
      <c r="H50" s="53">
        <v>86086</v>
      </c>
      <c r="I50" s="100">
        <f t="shared" si="2"/>
        <v>-6.7384568717093196E-2</v>
      </c>
      <c r="J50" s="53">
        <f t="shared" si="3"/>
        <v>-6220</v>
      </c>
      <c r="K50" s="100">
        <f t="shared" si="0"/>
        <v>3.2281943321538442E-2</v>
      </c>
      <c r="L50" s="100">
        <f>H50/H48</f>
        <v>0.63268290890383272</v>
      </c>
      <c r="M50" s="53">
        <v>0</v>
      </c>
      <c r="N50" s="53">
        <v>0</v>
      </c>
      <c r="O50" s="53">
        <v>11604</v>
      </c>
      <c r="P50" s="53">
        <v>13809</v>
      </c>
      <c r="Q50" s="53">
        <v>14680</v>
      </c>
      <c r="R50" s="53">
        <v>14746</v>
      </c>
      <c r="S50" s="100">
        <f t="shared" si="4"/>
        <v>4.4959128065396037E-3</v>
      </c>
      <c r="T50" s="53">
        <f t="shared" si="1"/>
        <v>66</v>
      </c>
      <c r="U50" s="100">
        <f t="shared" si="5"/>
        <v>3.2016934730340389E-2</v>
      </c>
      <c r="V50" s="100">
        <f>IFERROR(R50/R48,"-")</f>
        <v>0.63672870158469708</v>
      </c>
    </row>
    <row r="51" spans="2:22" x14ac:dyDescent="0.25">
      <c r="B51" s="99" t="s">
        <v>144</v>
      </c>
      <c r="C51" s="53">
        <v>6753</v>
      </c>
      <c r="D51" s="53">
        <v>0</v>
      </c>
      <c r="E51" s="53">
        <v>23519</v>
      </c>
      <c r="F51" s="53">
        <v>22547</v>
      </c>
      <c r="G51" s="53">
        <v>25679</v>
      </c>
      <c r="H51" s="53">
        <v>24582</v>
      </c>
      <c r="I51" s="100">
        <f t="shared" si="2"/>
        <v>-4.2719732076794248E-2</v>
      </c>
      <c r="J51" s="53">
        <f t="shared" si="3"/>
        <v>-1097</v>
      </c>
      <c r="K51" s="100">
        <f t="shared" si="0"/>
        <v>9.2181624274569399E-3</v>
      </c>
      <c r="L51" s="100">
        <f>H51/H48</f>
        <v>0.18066365340094809</v>
      </c>
      <c r="M51" s="53">
        <v>0</v>
      </c>
      <c r="N51" s="53">
        <v>0</v>
      </c>
      <c r="O51" s="53">
        <v>4277</v>
      </c>
      <c r="P51" s="53">
        <v>3974</v>
      </c>
      <c r="Q51" s="53">
        <v>4593</v>
      </c>
      <c r="R51" s="53">
        <v>4454</v>
      </c>
      <c r="S51" s="100">
        <f t="shared" si="4"/>
        <v>-3.026344437187023E-2</v>
      </c>
      <c r="T51" s="53">
        <f t="shared" si="1"/>
        <v>-139</v>
      </c>
      <c r="U51" s="100">
        <f t="shared" si="5"/>
        <v>9.2139400838853434E-3</v>
      </c>
      <c r="V51" s="100">
        <f>IFERROR(R51/R48,"-")</f>
        <v>0.192322639146768</v>
      </c>
    </row>
    <row r="52" spans="2:22" ht="16.5" thickBot="1" x14ac:dyDescent="0.3">
      <c r="B52" s="140" t="s">
        <v>65</v>
      </c>
      <c r="C52" s="141">
        <v>13012</v>
      </c>
      <c r="D52" s="141">
        <v>6263</v>
      </c>
      <c r="E52" s="141">
        <v>21379</v>
      </c>
      <c r="F52" s="141">
        <v>23156</v>
      </c>
      <c r="G52" s="141">
        <v>24437</v>
      </c>
      <c r="H52" s="141">
        <v>25397</v>
      </c>
      <c r="I52" s="142">
        <f t="shared" si="2"/>
        <v>3.9284691246879833E-2</v>
      </c>
      <c r="J52" s="141">
        <f t="shared" si="3"/>
        <v>960</v>
      </c>
      <c r="K52" s="142">
        <f t="shared" si="0"/>
        <v>9.5237845240470215E-3</v>
      </c>
      <c r="L52" s="142">
        <f>H52/H48</f>
        <v>0.18665343769521919</v>
      </c>
      <c r="M52" s="141">
        <v>0</v>
      </c>
      <c r="N52" s="141">
        <v>1432</v>
      </c>
      <c r="O52" s="141">
        <v>3005</v>
      </c>
      <c r="P52" s="141">
        <v>3282</v>
      </c>
      <c r="Q52" s="141">
        <v>3568</v>
      </c>
      <c r="R52" s="141">
        <v>3959</v>
      </c>
      <c r="S52" s="142">
        <f t="shared" si="4"/>
        <v>0.109585201793722</v>
      </c>
      <c r="T52" s="141">
        <f t="shared" si="1"/>
        <v>391</v>
      </c>
      <c r="U52" s="142">
        <f t="shared" si="5"/>
        <v>7.6094995861378193E-3</v>
      </c>
      <c r="V52" s="142">
        <f>IFERROR(R52/R48,"-")</f>
        <v>0.17094865926853492</v>
      </c>
    </row>
    <row r="53" spans="2:22" ht="15.75" x14ac:dyDescent="0.25">
      <c r="B53" s="133" t="s">
        <v>55</v>
      </c>
      <c r="C53" s="134">
        <f t="shared" ref="C53:H56" si="6">C6-C11-C16-C21-C26-C30-C35-C39-C44-C48</f>
        <v>29296</v>
      </c>
      <c r="D53" s="134">
        <f t="shared" si="6"/>
        <v>22293</v>
      </c>
      <c r="E53" s="134">
        <f t="shared" si="6"/>
        <v>52853</v>
      </c>
      <c r="F53" s="134">
        <f t="shared" si="6"/>
        <v>59038</v>
      </c>
      <c r="G53" s="134">
        <f t="shared" si="6"/>
        <v>61781</v>
      </c>
      <c r="H53" s="134">
        <f t="shared" si="6"/>
        <v>59492</v>
      </c>
      <c r="I53" s="135">
        <f t="shared" si="2"/>
        <v>-3.7050225797575331E-2</v>
      </c>
      <c r="J53" s="134">
        <f t="shared" si="3"/>
        <v>-2289</v>
      </c>
      <c r="K53" s="135">
        <f t="shared" si="0"/>
        <v>2.2309288061763414E-2</v>
      </c>
      <c r="L53" s="136">
        <f>H53/H53</f>
        <v>1</v>
      </c>
      <c r="M53" s="134">
        <v>0</v>
      </c>
      <c r="N53" s="134">
        <v>5282</v>
      </c>
      <c r="O53" s="134">
        <v>6967</v>
      </c>
      <c r="P53" s="134">
        <v>9485</v>
      </c>
      <c r="Q53" s="134">
        <v>8136</v>
      </c>
      <c r="R53" s="134">
        <v>9355</v>
      </c>
      <c r="S53" s="135">
        <f t="shared" si="4"/>
        <v>0.14982792527040312</v>
      </c>
      <c r="T53" s="134">
        <f t="shared" si="1"/>
        <v>1219</v>
      </c>
      <c r="U53" s="135">
        <f t="shared" si="5"/>
        <v>2.199150017505095E-2</v>
      </c>
      <c r="V53" s="136">
        <f>IFERROR(R53/R53,"-")</f>
        <v>1</v>
      </c>
    </row>
    <row r="54" spans="2:22" ht="15.75" x14ac:dyDescent="0.25">
      <c r="B54" s="137" t="s">
        <v>62</v>
      </c>
      <c r="C54" s="138">
        <f t="shared" si="6"/>
        <v>22394</v>
      </c>
      <c r="D54" s="138">
        <f t="shared" si="6"/>
        <v>24055</v>
      </c>
      <c r="E54" s="138">
        <f t="shared" si="6"/>
        <v>51491</v>
      </c>
      <c r="F54" s="138">
        <f t="shared" si="6"/>
        <v>54554</v>
      </c>
      <c r="G54" s="138">
        <f t="shared" si="6"/>
        <v>56482</v>
      </c>
      <c r="H54" s="138">
        <f t="shared" si="6"/>
        <v>53731</v>
      </c>
      <c r="I54" s="139">
        <f t="shared" si="2"/>
        <v>-4.8705782373145379E-2</v>
      </c>
      <c r="J54" s="138">
        <f t="shared" si="3"/>
        <v>-2751</v>
      </c>
      <c r="K54" s="139">
        <f t="shared" si="0"/>
        <v>2.0148933585130941E-2</v>
      </c>
      <c r="L54" s="139">
        <f>H54/H53</f>
        <v>0.90316345054797287</v>
      </c>
      <c r="M54" s="138">
        <v>0</v>
      </c>
      <c r="N54" s="138">
        <v>5240</v>
      </c>
      <c r="O54" s="138">
        <v>6638</v>
      </c>
      <c r="P54" s="138">
        <v>8748</v>
      </c>
      <c r="Q54" s="138">
        <v>7126</v>
      </c>
      <c r="R54" s="138">
        <v>8229</v>
      </c>
      <c r="S54" s="139">
        <f t="shared" si="4"/>
        <v>0.15478529329216961</v>
      </c>
      <c r="T54" s="138">
        <f t="shared" si="1"/>
        <v>1103</v>
      </c>
      <c r="U54" s="139">
        <f t="shared" si="5"/>
        <v>2.0282724673837186E-2</v>
      </c>
      <c r="V54" s="139">
        <f>IFERROR(R54/R53,"-")</f>
        <v>0.87963655799037943</v>
      </c>
    </row>
    <row r="55" spans="2:22" x14ac:dyDescent="0.25">
      <c r="B55" s="99" t="s">
        <v>142</v>
      </c>
      <c r="C55" s="53">
        <f t="shared" si="6"/>
        <v>19498</v>
      </c>
      <c r="D55" s="53">
        <f t="shared" si="6"/>
        <v>68542</v>
      </c>
      <c r="E55" s="53">
        <f t="shared" si="6"/>
        <v>181758</v>
      </c>
      <c r="F55" s="53">
        <f t="shared" si="6"/>
        <v>188203</v>
      </c>
      <c r="G55" s="53">
        <f t="shared" si="6"/>
        <v>223340</v>
      </c>
      <c r="H55" s="53">
        <f t="shared" si="6"/>
        <v>202357</v>
      </c>
      <c r="I55" s="100">
        <f t="shared" si="2"/>
        <v>-9.3950926838004878E-2</v>
      </c>
      <c r="J55" s="53">
        <f t="shared" si="3"/>
        <v>-20983</v>
      </c>
      <c r="K55" s="100">
        <f t="shared" si="0"/>
        <v>7.5883154110035961E-2</v>
      </c>
      <c r="L55" s="100">
        <f>H55/H53</f>
        <v>3.4014153163450547</v>
      </c>
      <c r="M55" s="53">
        <v>0</v>
      </c>
      <c r="N55" s="53">
        <v>4783</v>
      </c>
      <c r="O55" s="53">
        <v>5472</v>
      </c>
      <c r="P55" s="53">
        <v>6410</v>
      </c>
      <c r="Q55" s="53">
        <v>4475</v>
      </c>
      <c r="R55" s="53">
        <v>5886</v>
      </c>
      <c r="S55" s="100">
        <f t="shared" si="4"/>
        <v>0.31530726256983233</v>
      </c>
      <c r="T55" s="53">
        <f t="shared" si="1"/>
        <v>1411</v>
      </c>
      <c r="U55" s="100">
        <f t="shared" si="5"/>
        <v>1.4861941604857837E-2</v>
      </c>
      <c r="V55" s="100">
        <f>IFERROR(R55/R53,"-")</f>
        <v>0.62918225547835382</v>
      </c>
    </row>
    <row r="56" spans="2:22" x14ac:dyDescent="0.25">
      <c r="B56" s="99" t="s">
        <v>144</v>
      </c>
      <c r="C56" s="53">
        <f t="shared" si="6"/>
        <v>11088</v>
      </c>
      <c r="D56" s="53">
        <f t="shared" si="6"/>
        <v>26880</v>
      </c>
      <c r="E56" s="53">
        <f t="shared" si="6"/>
        <v>40761</v>
      </c>
      <c r="F56" s="53">
        <f t="shared" si="6"/>
        <v>66491</v>
      </c>
      <c r="G56" s="53">
        <f t="shared" si="6"/>
        <v>56666</v>
      </c>
      <c r="H56" s="53">
        <f t="shared" si="6"/>
        <v>60860</v>
      </c>
      <c r="I56" s="100">
        <f t="shared" si="2"/>
        <v>7.4012635442769925E-2</v>
      </c>
      <c r="J56" s="53">
        <f t="shared" si="3"/>
        <v>4194</v>
      </c>
      <c r="K56" s="100">
        <f t="shared" si="0"/>
        <v>2.282228318830971E-2</v>
      </c>
      <c r="L56" s="100">
        <f>H56/H53</f>
        <v>1.0229946883614605</v>
      </c>
      <c r="M56" s="53">
        <v>0</v>
      </c>
      <c r="N56" s="53">
        <v>457</v>
      </c>
      <c r="O56" s="53">
        <v>1166</v>
      </c>
      <c r="P56" s="53">
        <v>2338</v>
      </c>
      <c r="Q56" s="53">
        <v>2651</v>
      </c>
      <c r="R56" s="53">
        <v>2343</v>
      </c>
      <c r="S56" s="100">
        <f t="shared" si="4"/>
        <v>-0.11618257261410792</v>
      </c>
      <c r="T56" s="53">
        <f t="shared" si="1"/>
        <v>-308</v>
      </c>
      <c r="U56" s="100">
        <f t="shared" si="5"/>
        <v>5.4207830689793485E-3</v>
      </c>
      <c r="V56" s="100">
        <f>IFERROR(R56/R53,"-")</f>
        <v>0.25045430251202566</v>
      </c>
    </row>
    <row r="57" spans="2:22" ht="15.75" x14ac:dyDescent="0.25">
      <c r="B57" s="140" t="s">
        <v>65</v>
      </c>
      <c r="C57" s="141">
        <f>C53-C54</f>
        <v>6902</v>
      </c>
      <c r="D57" s="141">
        <f t="shared" ref="D57:H57" si="7">D53-D54</f>
        <v>-1762</v>
      </c>
      <c r="E57" s="141">
        <f t="shared" si="7"/>
        <v>1362</v>
      </c>
      <c r="F57" s="141">
        <f t="shared" si="7"/>
        <v>4484</v>
      </c>
      <c r="G57" s="141">
        <f t="shared" si="7"/>
        <v>5299</v>
      </c>
      <c r="H57" s="141">
        <f t="shared" si="7"/>
        <v>5761</v>
      </c>
      <c r="I57" s="142">
        <f t="shared" si="2"/>
        <v>8.7186261558784617E-2</v>
      </c>
      <c r="J57" s="141">
        <f t="shared" si="3"/>
        <v>462</v>
      </c>
      <c r="K57" s="142">
        <f t="shared" si="0"/>
        <v>2.160354476632472E-3</v>
      </c>
      <c r="L57" s="142">
        <f>H57/H53</f>
        <v>9.683654945202716E-2</v>
      </c>
      <c r="M57" s="141">
        <v>0</v>
      </c>
      <c r="N57" s="141">
        <v>105</v>
      </c>
      <c r="O57" s="141">
        <v>745</v>
      </c>
      <c r="P57" s="141">
        <v>1161</v>
      </c>
      <c r="Q57" s="141">
        <v>4318</v>
      </c>
      <c r="R57" s="141">
        <v>4003</v>
      </c>
      <c r="S57" s="142">
        <f t="shared" si="4"/>
        <v>-7.295044001852713E-2</v>
      </c>
      <c r="T57" s="141">
        <f t="shared" si="1"/>
        <v>-315</v>
      </c>
      <c r="U57" s="142">
        <f t="shared" si="5"/>
        <v>2.6918430894290091E-3</v>
      </c>
      <c r="V57" s="142">
        <f>IFERROR(R57/R53,"-")</f>
        <v>0.42789951897381079</v>
      </c>
    </row>
    <row r="58" spans="2:22" x14ac:dyDescent="0.25">
      <c r="B58" s="103"/>
      <c r="C58" s="104"/>
      <c r="D58" s="104"/>
      <c r="E58" s="104"/>
      <c r="F58" s="104"/>
      <c r="G58" s="104"/>
      <c r="H58" s="105"/>
      <c r="I58" s="104"/>
      <c r="J58" s="106"/>
      <c r="K58" s="106"/>
      <c r="L58" s="106"/>
    </row>
    <row r="59" spans="2:22" x14ac:dyDescent="0.25">
      <c r="B59" s="107" t="s">
        <v>57</v>
      </c>
      <c r="C59" s="107"/>
      <c r="D59" s="107"/>
      <c r="E59" s="107"/>
      <c r="F59" s="107"/>
      <c r="G59" s="107"/>
      <c r="H59" s="107"/>
      <c r="I59" s="107"/>
      <c r="J59" s="107"/>
      <c r="K59" s="107"/>
      <c r="L59" s="107"/>
    </row>
  </sheetData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9A264-61B8-4C59-91E9-2172016FD037}">
  <sheetPr>
    <tabColor theme="7" tint="0.79998168889431442"/>
    <pageSetUpPr fitToPage="1"/>
  </sheetPr>
  <dimension ref="A1:W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4" max="23" width="11.42578125" hidden="1" customWidth="1"/>
  </cols>
  <sheetData>
    <row r="1" spans="1:23" ht="42.75" customHeight="1" x14ac:dyDescent="0.25"/>
    <row r="3" spans="1:23" ht="42" customHeight="1" thickBot="1" x14ac:dyDescent="0.3">
      <c r="B3" s="278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3" s="278"/>
      <c r="D3" s="278"/>
      <c r="E3" s="278"/>
      <c r="F3" s="278"/>
      <c r="G3" s="278"/>
      <c r="H3" s="278"/>
      <c r="I3" s="278"/>
      <c r="J3" s="278"/>
      <c r="K3" s="278"/>
      <c r="N3" s="144" t="s">
        <v>258</v>
      </c>
      <c r="O3" s="145"/>
      <c r="P3" s="145"/>
      <c r="Q3" s="145"/>
      <c r="R3" s="145"/>
      <c r="S3" s="145"/>
      <c r="T3" s="145"/>
      <c r="U3" s="145"/>
      <c r="V3" s="145"/>
      <c r="W3" s="145"/>
    </row>
    <row r="4" spans="1:23" ht="6" customHeight="1" x14ac:dyDescent="0.25"/>
    <row r="5" spans="1:23" ht="15.75" x14ac:dyDescent="0.25">
      <c r="B5" s="146"/>
      <c r="C5" s="309" t="s">
        <v>45</v>
      </c>
      <c r="D5" s="310"/>
      <c r="E5" s="310"/>
      <c r="F5" s="310"/>
      <c r="G5" s="310"/>
      <c r="H5" s="310"/>
      <c r="I5" s="310"/>
      <c r="J5" s="310"/>
      <c r="K5" s="310"/>
      <c r="N5" s="146"/>
      <c r="O5" s="309" t="s">
        <v>45</v>
      </c>
      <c r="P5" s="310"/>
      <c r="Q5" s="310"/>
      <c r="R5" s="310"/>
      <c r="S5" s="310"/>
      <c r="T5" s="310"/>
      <c r="U5" s="310"/>
      <c r="V5" s="310"/>
      <c r="W5" s="310"/>
    </row>
    <row r="6" spans="1:23" s="147" customFormat="1" ht="72" customHeight="1" x14ac:dyDescent="0.25">
      <c r="B6" s="148"/>
      <c r="C6" s="149">
        <v>2019</v>
      </c>
      <c r="D6" s="150">
        <v>2020</v>
      </c>
      <c r="E6" s="150">
        <v>2021</v>
      </c>
      <c r="F6" s="150">
        <v>2022</v>
      </c>
      <c r="G6" s="150">
        <v>2023</v>
      </c>
      <c r="H6" s="150">
        <v>2024</v>
      </c>
      <c r="I6" s="151" t="str">
        <f>CONCATENATE("var. ",RIGHT(H6,2),"/",RIGHT(G6,2))</f>
        <v>var. 24/23</v>
      </c>
      <c r="J6" s="152" t="str">
        <f>CONCATENATE("dif. ",RIGHT(H6,2),"/",RIGHT(G6,2))</f>
        <v>dif. 24/23</v>
      </c>
      <c r="K6" s="151" t="str">
        <f>CONCATENATE("Cuota s/ total lugares de residencia ",RIGHT(H6,4))</f>
        <v>Cuota s/ total lugares de residencia 2024</v>
      </c>
      <c r="N6" s="148"/>
      <c r="O6" s="149">
        <v>2019</v>
      </c>
      <c r="P6" s="150">
        <v>2020</v>
      </c>
      <c r="Q6" s="150">
        <v>2021</v>
      </c>
      <c r="R6" s="150">
        <v>2022</v>
      </c>
      <c r="S6" s="150">
        <v>2023</v>
      </c>
      <c r="T6" s="150">
        <v>2024</v>
      </c>
      <c r="U6" s="151" t="str">
        <f>CONCATENATE("var. ",RIGHT(T6,2),"/",RIGHT(S6,2))</f>
        <v>var. 24/23</v>
      </c>
      <c r="V6" s="152" t="str">
        <f>CONCATENATE("dif. ",RIGHT(T6,2),"/",RIGHT(S6,2))</f>
        <v>dif. 24/23</v>
      </c>
      <c r="W6" s="151" t="str">
        <f>CONCATENATE("Cuota s/ total lugares de residencia ",RIGHT(T6,4))</f>
        <v>Cuota s/ total lugares de residencia 2024</v>
      </c>
    </row>
    <row r="7" spans="1:23" x14ac:dyDescent="0.25">
      <c r="A7" s="1"/>
      <c r="B7" s="153" t="s">
        <v>45</v>
      </c>
      <c r="C7" s="154"/>
      <c r="D7" s="154"/>
      <c r="E7" s="154"/>
      <c r="F7" s="154"/>
      <c r="G7" s="154"/>
      <c r="H7" s="155"/>
      <c r="I7" s="155"/>
      <c r="J7" s="155"/>
      <c r="K7" s="154"/>
      <c r="L7" s="81"/>
      <c r="N7" s="156" t="s">
        <v>53</v>
      </c>
      <c r="O7" s="154"/>
      <c r="P7" s="154"/>
      <c r="Q7" s="154"/>
      <c r="R7" s="154"/>
      <c r="S7" s="154"/>
      <c r="T7" s="155"/>
      <c r="U7" s="155"/>
      <c r="V7" s="155"/>
      <c r="W7" s="154"/>
    </row>
    <row r="8" spans="1:23" x14ac:dyDescent="0.25">
      <c r="A8" s="1"/>
      <c r="B8" s="157" t="s">
        <v>70</v>
      </c>
      <c r="C8" s="158">
        <v>4831573</v>
      </c>
      <c r="D8" s="158">
        <v>1565303</v>
      </c>
      <c r="E8" s="158">
        <v>2335438</v>
      </c>
      <c r="F8" s="158">
        <v>4757683</v>
      </c>
      <c r="G8" s="158">
        <v>5188807</v>
      </c>
      <c r="H8" s="158">
        <v>5480280</v>
      </c>
      <c r="I8" s="159">
        <f>IFERROR(H8/G8-1,"-")</f>
        <v>5.6173413272068151E-2</v>
      </c>
      <c r="J8" s="158">
        <f t="shared" ref="J8:J20" si="0">H8-G8</f>
        <v>291473</v>
      </c>
      <c r="K8" s="159">
        <f t="shared" ref="K8:K20" si="1">H8/H$8</f>
        <v>1</v>
      </c>
      <c r="L8" s="81"/>
      <c r="N8" s="157" t="s">
        <v>70</v>
      </c>
      <c r="O8" s="158">
        <v>220415</v>
      </c>
      <c r="P8" s="158">
        <v>103516</v>
      </c>
      <c r="Q8" s="158">
        <v>164258</v>
      </c>
      <c r="R8" s="158">
        <v>229131</v>
      </c>
      <c r="S8" s="158">
        <v>239109</v>
      </c>
      <c r="T8" s="158">
        <v>250871</v>
      </c>
      <c r="U8" s="159">
        <f>IFERROR(T8/S8-1,"-")</f>
        <v>4.9190954752853289E-2</v>
      </c>
      <c r="V8" s="158">
        <f>T8-S8</f>
        <v>11762</v>
      </c>
      <c r="W8" s="159">
        <f>T8/T$8</f>
        <v>1</v>
      </c>
    </row>
    <row r="9" spans="1:23" x14ac:dyDescent="0.25">
      <c r="A9" s="1" t="s">
        <v>98</v>
      </c>
      <c r="B9" s="160" t="s">
        <v>99</v>
      </c>
      <c r="C9" s="161">
        <v>1047557</v>
      </c>
      <c r="D9" s="161">
        <v>456683</v>
      </c>
      <c r="E9" s="161">
        <v>800301</v>
      </c>
      <c r="F9" s="161">
        <v>1016781</v>
      </c>
      <c r="G9" s="161">
        <v>1041269</v>
      </c>
      <c r="H9" s="161">
        <v>1058434</v>
      </c>
      <c r="I9" s="162">
        <f>IFERROR(H9/G9-1,"-")</f>
        <v>1.6484693196474609E-2</v>
      </c>
      <c r="J9" s="161">
        <f t="shared" si="0"/>
        <v>17165</v>
      </c>
      <c r="K9" s="162">
        <f t="shared" si="1"/>
        <v>0.19313502229813076</v>
      </c>
      <c r="L9" s="81"/>
      <c r="N9" s="160" t="s">
        <v>99</v>
      </c>
      <c r="O9" s="161">
        <v>120142</v>
      </c>
      <c r="P9" s="161">
        <v>61571</v>
      </c>
      <c r="Q9" s="161">
        <v>104557</v>
      </c>
      <c r="R9" s="161">
        <v>134886</v>
      </c>
      <c r="S9" s="161">
        <v>146430</v>
      </c>
      <c r="T9" s="161">
        <v>156566</v>
      </c>
      <c r="U9" s="162">
        <f>IFERROR(T9/S9-1,"-")</f>
        <v>6.9220788089872309E-2</v>
      </c>
      <c r="V9" s="161">
        <f t="shared" ref="V9:V19" si="2">T9-S9</f>
        <v>10136</v>
      </c>
      <c r="W9" s="162">
        <f>T9/T$8</f>
        <v>0.6240896715842007</v>
      </c>
    </row>
    <row r="10" spans="1:23" x14ac:dyDescent="0.25">
      <c r="A10" s="163" t="s">
        <v>105</v>
      </c>
      <c r="B10" s="164" t="s">
        <v>105</v>
      </c>
      <c r="C10" s="165">
        <v>415150</v>
      </c>
      <c r="D10" s="165">
        <v>208389</v>
      </c>
      <c r="E10" s="165">
        <v>416048</v>
      </c>
      <c r="F10" s="165">
        <v>423208</v>
      </c>
      <c r="G10" s="165">
        <v>428791</v>
      </c>
      <c r="H10" s="165">
        <v>421973</v>
      </c>
      <c r="I10" s="166">
        <f>IFERROR(H10/G10-1,"-")</f>
        <v>-1.5900520300099585E-2</v>
      </c>
      <c r="J10" s="165">
        <f t="shared" si="0"/>
        <v>-6818</v>
      </c>
      <c r="K10" s="166">
        <f t="shared" si="1"/>
        <v>7.6998438036012765E-2</v>
      </c>
      <c r="L10" s="81"/>
      <c r="N10" s="164" t="s">
        <v>105</v>
      </c>
      <c r="O10" s="165">
        <v>61076</v>
      </c>
      <c r="P10" s="165">
        <v>27791</v>
      </c>
      <c r="Q10" s="165">
        <v>53247</v>
      </c>
      <c r="R10" s="165">
        <v>69865</v>
      </c>
      <c r="S10" s="165">
        <v>66121</v>
      </c>
      <c r="T10" s="165">
        <v>75793</v>
      </c>
      <c r="U10" s="166">
        <f>IFERROR(T10/S10-1,"-")</f>
        <v>0.14627727953297742</v>
      </c>
      <c r="V10" s="165">
        <f t="shared" si="2"/>
        <v>9672</v>
      </c>
      <c r="W10" s="166">
        <f>T10/T$8</f>
        <v>0.30211941595481345</v>
      </c>
    </row>
    <row r="11" spans="1:23" x14ac:dyDescent="0.25">
      <c r="A11" s="163" t="s">
        <v>102</v>
      </c>
      <c r="B11" s="164" t="s">
        <v>102</v>
      </c>
      <c r="C11" s="165">
        <v>632407</v>
      </c>
      <c r="D11" s="165">
        <v>248294</v>
      </c>
      <c r="E11" s="165">
        <v>384253</v>
      </c>
      <c r="F11" s="165">
        <v>593573</v>
      </c>
      <c r="G11" s="165">
        <v>612478</v>
      </c>
      <c r="H11" s="165">
        <v>636461</v>
      </c>
      <c r="I11" s="166">
        <f>IFERROR(H11/G11-1,"-")</f>
        <v>3.915732483452472E-2</v>
      </c>
      <c r="J11" s="165">
        <f t="shared" si="0"/>
        <v>23983</v>
      </c>
      <c r="K11" s="166">
        <f t="shared" si="1"/>
        <v>0.116136584262118</v>
      </c>
      <c r="L11" s="81"/>
      <c r="N11" s="164" t="s">
        <v>102</v>
      </c>
      <c r="O11" s="165">
        <v>59066</v>
      </c>
      <c r="P11" s="165">
        <v>33780</v>
      </c>
      <c r="Q11" s="165">
        <v>51310</v>
      </c>
      <c r="R11" s="165">
        <v>65021</v>
      </c>
      <c r="S11" s="165">
        <v>80309</v>
      </c>
      <c r="T11" s="165">
        <v>80773</v>
      </c>
      <c r="U11" s="166">
        <f>IFERROR(T11/S11-1,"-")</f>
        <v>5.7776836967213807E-3</v>
      </c>
      <c r="V11" s="165">
        <f t="shared" si="2"/>
        <v>464</v>
      </c>
      <c r="W11" s="166">
        <f>T11/T$8</f>
        <v>0.32197025562938719</v>
      </c>
    </row>
    <row r="12" spans="1:23" x14ac:dyDescent="0.25">
      <c r="A12" s="1"/>
      <c r="B12" s="160" t="s">
        <v>109</v>
      </c>
      <c r="C12" s="161">
        <v>3784016</v>
      </c>
      <c r="D12" s="161">
        <v>1108620</v>
      </c>
      <c r="E12" s="161">
        <v>1535137</v>
      </c>
      <c r="F12" s="161">
        <v>3740902</v>
      </c>
      <c r="G12" s="161">
        <v>4147538</v>
      </c>
      <c r="H12" s="161">
        <v>4421846</v>
      </c>
      <c r="I12" s="162">
        <f>IFERROR(H12/G12-1,"-")</f>
        <v>6.6137549553494157E-2</v>
      </c>
      <c r="J12" s="161">
        <f t="shared" si="0"/>
        <v>274308</v>
      </c>
      <c r="K12" s="162">
        <f t="shared" si="1"/>
        <v>0.80686497770186927</v>
      </c>
      <c r="L12" s="81"/>
      <c r="N12" s="160" t="s">
        <v>109</v>
      </c>
      <c r="O12" s="161">
        <v>100273</v>
      </c>
      <c r="P12" s="161">
        <v>41945</v>
      </c>
      <c r="Q12" s="161">
        <v>59701</v>
      </c>
      <c r="R12" s="161">
        <v>94245</v>
      </c>
      <c r="S12" s="161">
        <v>92679</v>
      </c>
      <c r="T12" s="161">
        <v>94305</v>
      </c>
      <c r="U12" s="162">
        <f>IFERROR(T12/S12-1,"-")</f>
        <v>1.7544427540219454E-2</v>
      </c>
      <c r="V12" s="161">
        <f t="shared" si="2"/>
        <v>1626</v>
      </c>
      <c r="W12" s="162">
        <f>T12/T$8</f>
        <v>0.37591032841579936</v>
      </c>
    </row>
    <row r="13" spans="1:23" s="57" customFormat="1" x14ac:dyDescent="0.25">
      <c r="B13" s="164" t="s">
        <v>112</v>
      </c>
      <c r="C13" s="165">
        <v>1721079</v>
      </c>
      <c r="D13" s="165">
        <v>436137</v>
      </c>
      <c r="E13" s="165">
        <v>446045</v>
      </c>
      <c r="F13" s="165">
        <v>1722453</v>
      </c>
      <c r="G13" s="165">
        <v>1939344</v>
      </c>
      <c r="H13" s="165">
        <v>2075266</v>
      </c>
      <c r="I13" s="166">
        <f t="shared" ref="I13:I20" si="3">IFERROR(H13/G13-1,"-")</f>
        <v>7.0086585979588945E-2</v>
      </c>
      <c r="J13" s="165">
        <f t="shared" si="0"/>
        <v>135922</v>
      </c>
      <c r="K13" s="166">
        <f t="shared" si="1"/>
        <v>0.37867882662929631</v>
      </c>
      <c r="L13" s="167"/>
      <c r="N13" s="164" t="s">
        <v>112</v>
      </c>
      <c r="O13" s="165">
        <v>10460</v>
      </c>
      <c r="P13" s="165">
        <v>3941</v>
      </c>
      <c r="Q13" s="165">
        <v>3336</v>
      </c>
      <c r="R13" s="165">
        <v>9917</v>
      </c>
      <c r="S13" s="165">
        <v>11646</v>
      </c>
      <c r="T13" s="165">
        <v>10656</v>
      </c>
      <c r="U13" s="166">
        <f t="shared" ref="U13:U20" si="4">IFERROR(T13/S13-1,"-")</f>
        <v>-8.5007727975270453E-2</v>
      </c>
      <c r="V13" s="165">
        <f t="shared" si="2"/>
        <v>-990</v>
      </c>
      <c r="W13" s="166">
        <f t="shared" ref="W13:W20" si="5">T13/T$8</f>
        <v>4.2476013568726559E-2</v>
      </c>
    </row>
    <row r="14" spans="1:23" s="57" customFormat="1" x14ac:dyDescent="0.25">
      <c r="B14" s="164" t="s">
        <v>115</v>
      </c>
      <c r="C14" s="165">
        <v>491040</v>
      </c>
      <c r="D14" s="165">
        <v>138922</v>
      </c>
      <c r="E14" s="165">
        <v>222501</v>
      </c>
      <c r="F14" s="165">
        <v>385709</v>
      </c>
      <c r="G14" s="165">
        <v>431586</v>
      </c>
      <c r="H14" s="165">
        <v>447017</v>
      </c>
      <c r="I14" s="166">
        <f t="shared" si="3"/>
        <v>3.5754171822070191E-2</v>
      </c>
      <c r="J14" s="165">
        <f t="shared" si="0"/>
        <v>15431</v>
      </c>
      <c r="K14" s="166">
        <f t="shared" si="1"/>
        <v>8.1568277533264719E-2</v>
      </c>
      <c r="L14" s="167"/>
      <c r="N14" s="164" t="s">
        <v>115</v>
      </c>
      <c r="O14" s="165">
        <v>9550</v>
      </c>
      <c r="P14" s="165">
        <v>4053</v>
      </c>
      <c r="Q14" s="165">
        <v>7314</v>
      </c>
      <c r="R14" s="165">
        <v>11261</v>
      </c>
      <c r="S14" s="165">
        <v>13316</v>
      </c>
      <c r="T14" s="165">
        <v>13127</v>
      </c>
      <c r="U14" s="166">
        <f t="shared" si="4"/>
        <v>-1.4193451486932962E-2</v>
      </c>
      <c r="V14" s="165">
        <f t="shared" si="2"/>
        <v>-189</v>
      </c>
      <c r="W14" s="166">
        <f t="shared" si="5"/>
        <v>5.2325697270708849E-2</v>
      </c>
    </row>
    <row r="15" spans="1:23" x14ac:dyDescent="0.25">
      <c r="A15" s="1"/>
      <c r="B15" s="164" t="s">
        <v>118</v>
      </c>
      <c r="C15" s="165">
        <v>166950</v>
      </c>
      <c r="D15" s="165">
        <v>58766</v>
      </c>
      <c r="E15" s="165">
        <v>128102</v>
      </c>
      <c r="F15" s="165">
        <v>197280</v>
      </c>
      <c r="G15" s="165">
        <v>216824</v>
      </c>
      <c r="H15" s="165">
        <v>230379</v>
      </c>
      <c r="I15" s="166">
        <f t="shared" si="3"/>
        <v>6.2516142124487972E-2</v>
      </c>
      <c r="J15" s="165">
        <f t="shared" si="0"/>
        <v>13555</v>
      </c>
      <c r="K15" s="166">
        <f t="shared" si="1"/>
        <v>4.2037815586064946E-2</v>
      </c>
      <c r="L15" s="81"/>
      <c r="N15" s="164" t="s">
        <v>118</v>
      </c>
      <c r="O15" s="165">
        <v>6709</v>
      </c>
      <c r="P15" s="165">
        <v>2906</v>
      </c>
      <c r="Q15" s="165">
        <v>7134</v>
      </c>
      <c r="R15" s="165">
        <v>8524</v>
      </c>
      <c r="S15" s="165">
        <v>8756</v>
      </c>
      <c r="T15" s="165">
        <v>8567</v>
      </c>
      <c r="U15" s="166">
        <f t="shared" si="4"/>
        <v>-2.1585198720877163E-2</v>
      </c>
      <c r="V15" s="165">
        <f t="shared" si="2"/>
        <v>-189</v>
      </c>
      <c r="W15" s="166">
        <f t="shared" si="5"/>
        <v>3.4149024797605142E-2</v>
      </c>
    </row>
    <row r="16" spans="1:23" x14ac:dyDescent="0.25">
      <c r="A16" s="1"/>
      <c r="B16" s="164" t="s">
        <v>125</v>
      </c>
      <c r="C16" s="165">
        <v>137818</v>
      </c>
      <c r="D16" s="165">
        <v>39662</v>
      </c>
      <c r="E16" s="165">
        <v>93209</v>
      </c>
      <c r="F16" s="165">
        <v>169583</v>
      </c>
      <c r="G16" s="165">
        <v>165044</v>
      </c>
      <c r="H16" s="165">
        <v>174675</v>
      </c>
      <c r="I16" s="166">
        <f t="shared" si="3"/>
        <v>5.8354135866799162E-2</v>
      </c>
      <c r="J16" s="165">
        <f t="shared" si="0"/>
        <v>9631</v>
      </c>
      <c r="K16" s="166">
        <f t="shared" si="1"/>
        <v>3.1873371433576388E-2</v>
      </c>
      <c r="L16" s="81"/>
      <c r="N16" s="164" t="s">
        <v>125</v>
      </c>
      <c r="O16" s="165">
        <v>1866</v>
      </c>
      <c r="P16" s="165">
        <v>784</v>
      </c>
      <c r="Q16" s="165">
        <v>1333</v>
      </c>
      <c r="R16" s="165">
        <v>2573</v>
      </c>
      <c r="S16" s="165">
        <v>2637</v>
      </c>
      <c r="T16" s="165">
        <v>2356</v>
      </c>
      <c r="U16" s="166">
        <f t="shared" si="4"/>
        <v>-0.10656048540007579</v>
      </c>
      <c r="V16" s="165">
        <f t="shared" si="2"/>
        <v>-281</v>
      </c>
      <c r="W16" s="166">
        <f t="shared" si="5"/>
        <v>9.3912807777702476E-3</v>
      </c>
    </row>
    <row r="17" spans="1:23" x14ac:dyDescent="0.25">
      <c r="A17" s="1"/>
      <c r="B17" s="164" t="s">
        <v>121</v>
      </c>
      <c r="C17" s="165">
        <v>133862</v>
      </c>
      <c r="D17" s="165">
        <v>55544</v>
      </c>
      <c r="E17" s="165">
        <v>93337</v>
      </c>
      <c r="F17" s="165">
        <v>146133</v>
      </c>
      <c r="G17" s="165">
        <v>151265</v>
      </c>
      <c r="H17" s="165">
        <v>157483</v>
      </c>
      <c r="I17" s="166">
        <f t="shared" si="3"/>
        <v>4.1106667107394301E-2</v>
      </c>
      <c r="J17" s="165">
        <f t="shared" si="0"/>
        <v>6218</v>
      </c>
      <c r="K17" s="166">
        <f t="shared" si="1"/>
        <v>2.8736305444247375E-2</v>
      </c>
      <c r="L17" s="81"/>
      <c r="N17" s="164" t="s">
        <v>121</v>
      </c>
      <c r="O17" s="165">
        <v>1484</v>
      </c>
      <c r="P17" s="165">
        <v>812</v>
      </c>
      <c r="Q17" s="165">
        <v>1357</v>
      </c>
      <c r="R17" s="165">
        <v>1836</v>
      </c>
      <c r="S17" s="165">
        <v>1934</v>
      </c>
      <c r="T17" s="165">
        <v>2091</v>
      </c>
      <c r="U17" s="166">
        <f t="shared" si="4"/>
        <v>8.1178903826266913E-2</v>
      </c>
      <c r="V17" s="165">
        <f t="shared" si="2"/>
        <v>157</v>
      </c>
      <c r="W17" s="166">
        <f t="shared" si="5"/>
        <v>8.3349609958903188E-3</v>
      </c>
    </row>
    <row r="18" spans="1:23" x14ac:dyDescent="0.25">
      <c r="A18" s="1"/>
      <c r="B18" s="164" t="s">
        <v>130</v>
      </c>
      <c r="C18" s="165">
        <v>74390</v>
      </c>
      <c r="D18" s="165">
        <v>28784</v>
      </c>
      <c r="E18" s="165">
        <v>25400</v>
      </c>
      <c r="F18" s="165">
        <v>62340</v>
      </c>
      <c r="G18" s="165">
        <v>67966</v>
      </c>
      <c r="H18" s="165">
        <v>63716</v>
      </c>
      <c r="I18" s="166">
        <f t="shared" si="3"/>
        <v>-6.2531265632816413E-2</v>
      </c>
      <c r="J18" s="165">
        <f t="shared" si="0"/>
        <v>-4250</v>
      </c>
      <c r="K18" s="166">
        <f t="shared" si="1"/>
        <v>1.1626413248958082E-2</v>
      </c>
      <c r="L18" s="81"/>
      <c r="N18" s="164" t="s">
        <v>130</v>
      </c>
      <c r="O18" s="165">
        <v>1623</v>
      </c>
      <c r="P18" s="165">
        <v>678</v>
      </c>
      <c r="Q18" s="165">
        <v>555</v>
      </c>
      <c r="R18" s="165">
        <v>1075</v>
      </c>
      <c r="S18" s="165">
        <v>1341</v>
      </c>
      <c r="T18" s="165">
        <v>1334</v>
      </c>
      <c r="U18" s="166">
        <f t="shared" si="4"/>
        <v>-5.2199850857569396E-3</v>
      </c>
      <c r="V18" s="165">
        <f t="shared" si="2"/>
        <v>-7</v>
      </c>
      <c r="W18" s="166">
        <f t="shared" si="5"/>
        <v>5.3174739208597249E-3</v>
      </c>
    </row>
    <row r="19" spans="1:23" x14ac:dyDescent="0.25">
      <c r="A19" s="163" t="s">
        <v>146</v>
      </c>
      <c r="B19" s="164" t="s">
        <v>133</v>
      </c>
      <c r="C19" s="165">
        <v>106028</v>
      </c>
      <c r="D19" s="165">
        <v>42711</v>
      </c>
      <c r="E19" s="165">
        <v>22147</v>
      </c>
      <c r="F19" s="165">
        <v>56752</v>
      </c>
      <c r="G19" s="165">
        <v>70972</v>
      </c>
      <c r="H19" s="165">
        <v>68752</v>
      </c>
      <c r="I19" s="166">
        <f t="shared" si="3"/>
        <v>-3.1279941385335075E-2</v>
      </c>
      <c r="J19" s="165">
        <f t="shared" si="0"/>
        <v>-2220</v>
      </c>
      <c r="K19" s="166">
        <f t="shared" si="1"/>
        <v>1.2545344398461392E-2</v>
      </c>
      <c r="L19" s="81"/>
      <c r="N19" s="164" t="s">
        <v>133</v>
      </c>
      <c r="O19" s="165">
        <v>2681</v>
      </c>
      <c r="P19" s="165">
        <v>1097</v>
      </c>
      <c r="Q19" s="165">
        <v>919</v>
      </c>
      <c r="R19" s="165">
        <v>1885</v>
      </c>
      <c r="S19" s="165">
        <v>2455</v>
      </c>
      <c r="T19" s="165">
        <v>2493</v>
      </c>
      <c r="U19" s="166">
        <f t="shared" si="4"/>
        <v>1.5478615071283119E-2</v>
      </c>
      <c r="V19" s="165">
        <f t="shared" si="2"/>
        <v>38</v>
      </c>
      <c r="W19" s="166">
        <f t="shared" si="5"/>
        <v>9.9373781744402506E-3</v>
      </c>
    </row>
    <row r="20" spans="1:23" x14ac:dyDescent="0.25">
      <c r="A20" s="168" t="s">
        <v>147</v>
      </c>
      <c r="B20" s="169" t="s">
        <v>147</v>
      </c>
      <c r="C20" s="170">
        <f t="shared" ref="C20:H20" si="6">C12-SUM(C13:C19)</f>
        <v>952849</v>
      </c>
      <c r="D20" s="170">
        <f t="shared" si="6"/>
        <v>308094</v>
      </c>
      <c r="E20" s="170">
        <f t="shared" si="6"/>
        <v>504396</v>
      </c>
      <c r="F20" s="170">
        <f t="shared" si="6"/>
        <v>1000652</v>
      </c>
      <c r="G20" s="170">
        <f t="shared" si="6"/>
        <v>1104537</v>
      </c>
      <c r="H20" s="170">
        <f t="shared" si="6"/>
        <v>1204558</v>
      </c>
      <c r="I20" s="171">
        <f t="shared" si="3"/>
        <v>9.0554684904172511E-2</v>
      </c>
      <c r="J20" s="170">
        <f t="shared" si="0"/>
        <v>100021</v>
      </c>
      <c r="K20" s="171">
        <f t="shared" si="1"/>
        <v>0.21979862342800002</v>
      </c>
      <c r="L20" s="81"/>
      <c r="N20" s="169" t="s">
        <v>147</v>
      </c>
      <c r="O20" s="170">
        <f t="shared" ref="O20:T20" si="7">O12-SUM(O13:O19)</f>
        <v>65900</v>
      </c>
      <c r="P20" s="170">
        <f t="shared" si="7"/>
        <v>27674</v>
      </c>
      <c r="Q20" s="170">
        <f t="shared" si="7"/>
        <v>37753</v>
      </c>
      <c r="R20" s="170">
        <f t="shared" si="7"/>
        <v>57174</v>
      </c>
      <c r="S20" s="170">
        <f t="shared" si="7"/>
        <v>50594</v>
      </c>
      <c r="T20" s="170">
        <f t="shared" si="7"/>
        <v>53681</v>
      </c>
      <c r="U20" s="171">
        <f t="shared" si="4"/>
        <v>6.1015140135193935E-2</v>
      </c>
      <c r="V20" s="170">
        <f>T20-S20</f>
        <v>3087</v>
      </c>
      <c r="W20" s="171">
        <f t="shared" si="5"/>
        <v>0.21397849890979825</v>
      </c>
    </row>
    <row r="21" spans="1:23" x14ac:dyDescent="0.25">
      <c r="B21" s="156" t="s">
        <v>46</v>
      </c>
      <c r="C21" s="154"/>
      <c r="D21" s="154"/>
      <c r="E21" s="154"/>
      <c r="F21" s="154"/>
      <c r="G21" s="154"/>
      <c r="H21" s="155"/>
      <c r="I21" s="155"/>
      <c r="J21" s="155"/>
      <c r="K21" s="154"/>
      <c r="L21" s="172"/>
      <c r="M21" s="172"/>
      <c r="N21" s="172"/>
    </row>
    <row r="22" spans="1:23" x14ac:dyDescent="0.25">
      <c r="B22" s="157" t="s">
        <v>70</v>
      </c>
      <c r="C22" s="158">
        <v>1762715</v>
      </c>
      <c r="D22" s="158">
        <v>550867</v>
      </c>
      <c r="E22" s="158">
        <v>881045</v>
      </c>
      <c r="F22" s="158">
        <v>1757049</v>
      </c>
      <c r="G22" s="158">
        <v>1888332</v>
      </c>
      <c r="H22" s="158">
        <v>1938898</v>
      </c>
      <c r="I22" s="159">
        <f>IFERROR(H22/G22-1,"-")</f>
        <v>2.677813011694985E-2</v>
      </c>
      <c r="J22" s="158">
        <f>H22-G22</f>
        <v>50566</v>
      </c>
      <c r="K22" s="159">
        <f>H22/H$8</f>
        <v>0.35379542651105417</v>
      </c>
      <c r="L22" s="107"/>
      <c r="M22" s="107"/>
      <c r="N22" s="107"/>
    </row>
    <row r="23" spans="1:23" x14ac:dyDescent="0.25">
      <c r="B23" s="160" t="s">
        <v>99</v>
      </c>
      <c r="C23" s="161">
        <v>222987</v>
      </c>
      <c r="D23" s="161">
        <v>117997</v>
      </c>
      <c r="E23" s="161">
        <v>247584</v>
      </c>
      <c r="F23" s="161">
        <v>207208</v>
      </c>
      <c r="G23" s="161">
        <v>181512</v>
      </c>
      <c r="H23" s="161">
        <v>161819</v>
      </c>
      <c r="I23" s="162">
        <f>IFERROR(H23/G23-1,"-")</f>
        <v>-0.10849420423994005</v>
      </c>
      <c r="J23" s="161">
        <f t="shared" ref="J23:J33" si="8">H23-G23</f>
        <v>-19693</v>
      </c>
      <c r="K23" s="162">
        <f>H23/H$8</f>
        <v>2.9527505893859437E-2</v>
      </c>
    </row>
    <row r="24" spans="1:23" x14ac:dyDescent="0.25">
      <c r="B24" s="164" t="s">
        <v>105</v>
      </c>
      <c r="C24" s="165">
        <v>113067</v>
      </c>
      <c r="D24" s="165">
        <v>68476</v>
      </c>
      <c r="E24" s="165">
        <v>126666</v>
      </c>
      <c r="F24" s="165">
        <v>86811</v>
      </c>
      <c r="G24" s="165">
        <v>75374</v>
      </c>
      <c r="H24" s="165">
        <v>60650</v>
      </c>
      <c r="I24" s="166">
        <f>IFERROR(H24/G24-1,"-")</f>
        <v>-0.19534587523549229</v>
      </c>
      <c r="J24" s="165">
        <f t="shared" si="8"/>
        <v>-14724</v>
      </c>
      <c r="K24" s="166">
        <f>H24/H$8</f>
        <v>1.1066952783434423E-2</v>
      </c>
    </row>
    <row r="25" spans="1:23" x14ac:dyDescent="0.25">
      <c r="B25" s="164" t="s">
        <v>102</v>
      </c>
      <c r="C25" s="165">
        <v>109920</v>
      </c>
      <c r="D25" s="165">
        <v>49521</v>
      </c>
      <c r="E25" s="165">
        <v>120918</v>
      </c>
      <c r="F25" s="165">
        <v>120397</v>
      </c>
      <c r="G25" s="165">
        <v>106138</v>
      </c>
      <c r="H25" s="165">
        <v>101169</v>
      </c>
      <c r="I25" s="166">
        <f>IFERROR(H25/G25-1,"-")</f>
        <v>-4.6816408826245048E-2</v>
      </c>
      <c r="J25" s="165">
        <f t="shared" si="8"/>
        <v>-4969</v>
      </c>
      <c r="K25" s="166">
        <f>H25/H$8</f>
        <v>1.8460553110425014E-2</v>
      </c>
    </row>
    <row r="26" spans="1:23" x14ac:dyDescent="0.25">
      <c r="B26" s="160" t="s">
        <v>109</v>
      </c>
      <c r="C26" s="161">
        <v>1539728</v>
      </c>
      <c r="D26" s="161">
        <v>432870</v>
      </c>
      <c r="E26" s="161">
        <v>633461</v>
      </c>
      <c r="F26" s="161">
        <v>1549841</v>
      </c>
      <c r="G26" s="161">
        <v>1706820</v>
      </c>
      <c r="H26" s="161">
        <v>1777079</v>
      </c>
      <c r="I26" s="162">
        <f>IFERROR(H26/G26-1,"-")</f>
        <v>4.1163684512719456E-2</v>
      </c>
      <c r="J26" s="161">
        <f t="shared" si="8"/>
        <v>70259</v>
      </c>
      <c r="K26" s="162">
        <f>H26/H$8</f>
        <v>0.32426792061719473</v>
      </c>
    </row>
    <row r="27" spans="1:23" x14ac:dyDescent="0.25">
      <c r="B27" s="164" t="s">
        <v>112</v>
      </c>
      <c r="C27" s="165">
        <v>757594</v>
      </c>
      <c r="D27" s="165">
        <v>187852</v>
      </c>
      <c r="E27" s="165">
        <v>208305</v>
      </c>
      <c r="F27" s="165">
        <v>783677</v>
      </c>
      <c r="G27" s="165">
        <v>883653</v>
      </c>
      <c r="H27" s="165">
        <v>930359</v>
      </c>
      <c r="I27" s="166">
        <f t="shared" ref="I27:I34" si="9">IFERROR(H27/G27-1,"-")</f>
        <v>5.2855589241478373E-2</v>
      </c>
      <c r="J27" s="165">
        <f t="shared" si="8"/>
        <v>46706</v>
      </c>
      <c r="K27" s="166">
        <f t="shared" ref="K27:K34" si="10">H27/H$8</f>
        <v>0.16976486602874305</v>
      </c>
    </row>
    <row r="28" spans="1:23" x14ac:dyDescent="0.25">
      <c r="B28" s="164" t="s">
        <v>115</v>
      </c>
      <c r="C28" s="165">
        <v>201016</v>
      </c>
      <c r="D28" s="165">
        <v>57141</v>
      </c>
      <c r="E28" s="165">
        <v>103865</v>
      </c>
      <c r="F28" s="165">
        <v>169299</v>
      </c>
      <c r="G28" s="165">
        <v>182538</v>
      </c>
      <c r="H28" s="165">
        <v>183463</v>
      </c>
      <c r="I28" s="166">
        <f t="shared" si="9"/>
        <v>5.0674380129069885E-3</v>
      </c>
      <c r="J28" s="165">
        <f t="shared" si="8"/>
        <v>925</v>
      </c>
      <c r="K28" s="166">
        <f t="shared" si="10"/>
        <v>3.3476939134496779E-2</v>
      </c>
    </row>
    <row r="29" spans="1:23" x14ac:dyDescent="0.25">
      <c r="B29" s="164" t="s">
        <v>118</v>
      </c>
      <c r="C29" s="165">
        <v>52571</v>
      </c>
      <c r="D29" s="165">
        <v>20504</v>
      </c>
      <c r="E29" s="165">
        <v>42447</v>
      </c>
      <c r="F29" s="165">
        <v>63176</v>
      </c>
      <c r="G29" s="165">
        <v>65334</v>
      </c>
      <c r="H29" s="165">
        <v>57978</v>
      </c>
      <c r="I29" s="166">
        <f t="shared" si="9"/>
        <v>-0.11259068785012394</v>
      </c>
      <c r="J29" s="165">
        <f t="shared" si="8"/>
        <v>-7356</v>
      </c>
      <c r="K29" s="166">
        <f t="shared" si="10"/>
        <v>1.0579386454706694E-2</v>
      </c>
    </row>
    <row r="30" spans="1:23" x14ac:dyDescent="0.25">
      <c r="B30" s="164" t="s">
        <v>125</v>
      </c>
      <c r="C30" s="165">
        <v>61428</v>
      </c>
      <c r="D30" s="165">
        <v>17078</v>
      </c>
      <c r="E30" s="165">
        <v>41550</v>
      </c>
      <c r="F30" s="165">
        <v>75901</v>
      </c>
      <c r="G30" s="165">
        <v>70878</v>
      </c>
      <c r="H30" s="165">
        <v>71598</v>
      </c>
      <c r="I30" s="166">
        <f t="shared" si="9"/>
        <v>1.0158300177770307E-2</v>
      </c>
      <c r="J30" s="165">
        <f t="shared" si="8"/>
        <v>720</v>
      </c>
      <c r="K30" s="166">
        <f t="shared" si="10"/>
        <v>1.3064660929733518E-2</v>
      </c>
    </row>
    <row r="31" spans="1:23" x14ac:dyDescent="0.25">
      <c r="B31" s="164" t="s">
        <v>121</v>
      </c>
      <c r="C31" s="165">
        <v>70272</v>
      </c>
      <c r="D31" s="165">
        <v>28980</v>
      </c>
      <c r="E31" s="165">
        <v>51893</v>
      </c>
      <c r="F31" s="165">
        <v>82793</v>
      </c>
      <c r="G31" s="165">
        <v>80226</v>
      </c>
      <c r="H31" s="165">
        <v>81717</v>
      </c>
      <c r="I31" s="166">
        <f t="shared" si="9"/>
        <v>1.858499738239483E-2</v>
      </c>
      <c r="J31" s="165">
        <f t="shared" si="8"/>
        <v>1491</v>
      </c>
      <c r="K31" s="166">
        <f t="shared" si="10"/>
        <v>1.4911099432875692E-2</v>
      </c>
    </row>
    <row r="32" spans="1:23" x14ac:dyDescent="0.25">
      <c r="B32" s="164" t="s">
        <v>130</v>
      </c>
      <c r="C32" s="165">
        <v>30964</v>
      </c>
      <c r="D32" s="165">
        <v>11625</v>
      </c>
      <c r="E32" s="165">
        <v>7603</v>
      </c>
      <c r="F32" s="165">
        <v>22864</v>
      </c>
      <c r="G32" s="165">
        <v>24590</v>
      </c>
      <c r="H32" s="165">
        <v>24160</v>
      </c>
      <c r="I32" s="166">
        <f t="shared" si="9"/>
        <v>-1.7486783245221682E-2</v>
      </c>
      <c r="J32" s="165">
        <f t="shared" si="8"/>
        <v>-430</v>
      </c>
      <c r="K32" s="166">
        <f t="shared" si="10"/>
        <v>4.4085338705321629E-3</v>
      </c>
    </row>
    <row r="33" spans="2:14" x14ac:dyDescent="0.25">
      <c r="B33" s="164" t="s">
        <v>133</v>
      </c>
      <c r="C33" s="165">
        <v>35546</v>
      </c>
      <c r="D33" s="165">
        <v>13377</v>
      </c>
      <c r="E33" s="165">
        <v>5465</v>
      </c>
      <c r="F33" s="165">
        <v>19705</v>
      </c>
      <c r="G33" s="165">
        <v>25667</v>
      </c>
      <c r="H33" s="165">
        <v>23273</v>
      </c>
      <c r="I33" s="166">
        <f t="shared" si="9"/>
        <v>-9.3271515954338247E-2</v>
      </c>
      <c r="J33" s="165">
        <f t="shared" si="8"/>
        <v>-2394</v>
      </c>
      <c r="K33" s="166">
        <f t="shared" si="10"/>
        <v>4.2466808265271116E-3</v>
      </c>
    </row>
    <row r="34" spans="2:14" x14ac:dyDescent="0.25">
      <c r="B34" s="169" t="s">
        <v>147</v>
      </c>
      <c r="C34" s="170">
        <f t="shared" ref="C34:H34" si="11">C26-SUM(C27:C33)</f>
        <v>330337</v>
      </c>
      <c r="D34" s="170">
        <f t="shared" si="11"/>
        <v>96313</v>
      </c>
      <c r="E34" s="170">
        <f t="shared" si="11"/>
        <v>172333</v>
      </c>
      <c r="F34" s="170">
        <f t="shared" si="11"/>
        <v>332426</v>
      </c>
      <c r="G34" s="170">
        <f t="shared" si="11"/>
        <v>373934</v>
      </c>
      <c r="H34" s="170">
        <f t="shared" si="11"/>
        <v>404531</v>
      </c>
      <c r="I34" s="171">
        <f t="shared" si="9"/>
        <v>8.1824600063112651E-2</v>
      </c>
      <c r="J34" s="170">
        <f>H34-G34</f>
        <v>30597</v>
      </c>
      <c r="K34" s="171">
        <f t="shared" si="10"/>
        <v>7.3815753939579731E-2</v>
      </c>
    </row>
    <row r="35" spans="2:14" x14ac:dyDescent="0.25">
      <c r="B35" s="156" t="s">
        <v>47</v>
      </c>
      <c r="C35" s="154"/>
      <c r="D35" s="154"/>
      <c r="E35" s="154"/>
      <c r="F35" s="154"/>
      <c r="G35" s="154"/>
      <c r="H35" s="155"/>
      <c r="I35" s="155"/>
      <c r="J35" s="155"/>
      <c r="K35" s="154"/>
      <c r="L35" s="172"/>
      <c r="M35" s="172"/>
      <c r="N35" s="172"/>
    </row>
    <row r="36" spans="2:14" x14ac:dyDescent="0.25">
      <c r="B36" s="157" t="s">
        <v>70</v>
      </c>
      <c r="C36" s="158">
        <v>1299411</v>
      </c>
      <c r="D36" s="158">
        <v>375345</v>
      </c>
      <c r="E36" s="158">
        <v>492258</v>
      </c>
      <c r="F36" s="158">
        <v>1243535</v>
      </c>
      <c r="G36" s="158">
        <v>1319978</v>
      </c>
      <c r="H36" s="158">
        <v>1387823</v>
      </c>
      <c r="I36" s="159">
        <f>IFERROR(H36/G36-1,"-")</f>
        <v>5.139858391579244E-2</v>
      </c>
      <c r="J36" s="158">
        <f>H36-G36</f>
        <v>67845</v>
      </c>
      <c r="K36" s="159">
        <f>H36/H$8</f>
        <v>0.2532394330216704</v>
      </c>
      <c r="L36" s="107"/>
      <c r="M36" s="107"/>
      <c r="N36" s="107"/>
    </row>
    <row r="37" spans="2:14" x14ac:dyDescent="0.25">
      <c r="B37" s="160" t="s">
        <v>99</v>
      </c>
      <c r="C37" s="161">
        <v>127819</v>
      </c>
      <c r="D37" s="161">
        <v>51760</v>
      </c>
      <c r="E37" s="161">
        <v>83468</v>
      </c>
      <c r="F37" s="161">
        <v>123951</v>
      </c>
      <c r="G37" s="161">
        <v>118966</v>
      </c>
      <c r="H37" s="161">
        <v>114660</v>
      </c>
      <c r="I37" s="162">
        <f>IFERROR(H37/G37-1,"-")</f>
        <v>-3.6195215439705497E-2</v>
      </c>
      <c r="J37" s="161">
        <f t="shared" ref="J37:J47" si="12">H37-G37</f>
        <v>-4306</v>
      </c>
      <c r="K37" s="162">
        <f>H37/H$8</f>
        <v>2.0922288642186166E-2</v>
      </c>
    </row>
    <row r="38" spans="2:14" x14ac:dyDescent="0.25">
      <c r="B38" s="164" t="s">
        <v>105</v>
      </c>
      <c r="C38" s="165">
        <v>51328</v>
      </c>
      <c r="D38" s="165">
        <v>24912</v>
      </c>
      <c r="E38" s="165">
        <v>43482</v>
      </c>
      <c r="F38" s="165">
        <v>48094</v>
      </c>
      <c r="G38" s="165">
        <v>51902</v>
      </c>
      <c r="H38" s="165">
        <v>50245</v>
      </c>
      <c r="I38" s="166">
        <f>IFERROR(H38/G38-1,"-")</f>
        <v>-3.1925552001849655E-2</v>
      </c>
      <c r="J38" s="165">
        <f t="shared" si="12"/>
        <v>-1657</v>
      </c>
      <c r="K38" s="166">
        <f>H38/H$8</f>
        <v>9.1683271657652526E-3</v>
      </c>
    </row>
    <row r="39" spans="2:14" x14ac:dyDescent="0.25">
      <c r="B39" s="164" t="s">
        <v>102</v>
      </c>
      <c r="C39" s="165">
        <v>76491</v>
      </c>
      <c r="D39" s="165">
        <v>26848</v>
      </c>
      <c r="E39" s="165">
        <v>39986</v>
      </c>
      <c r="F39" s="165">
        <v>75857</v>
      </c>
      <c r="G39" s="165">
        <v>67064</v>
      </c>
      <c r="H39" s="165">
        <v>64415</v>
      </c>
      <c r="I39" s="166">
        <f>IFERROR(H39/G39-1,"-")</f>
        <v>-3.9499582488369267E-2</v>
      </c>
      <c r="J39" s="165">
        <f t="shared" si="12"/>
        <v>-2649</v>
      </c>
      <c r="K39" s="166">
        <f>H39/H$8</f>
        <v>1.1753961476420913E-2</v>
      </c>
    </row>
    <row r="40" spans="2:14" x14ac:dyDescent="0.25">
      <c r="B40" s="160" t="s">
        <v>109</v>
      </c>
      <c r="C40" s="161">
        <v>1171592</v>
      </c>
      <c r="D40" s="161">
        <v>323585</v>
      </c>
      <c r="E40" s="161">
        <v>408790</v>
      </c>
      <c r="F40" s="161">
        <v>1119584</v>
      </c>
      <c r="G40" s="161">
        <v>1201012</v>
      </c>
      <c r="H40" s="161">
        <v>1273163</v>
      </c>
      <c r="I40" s="162">
        <f>IFERROR(H40/G40-1,"-")</f>
        <v>6.007516994001727E-2</v>
      </c>
      <c r="J40" s="161">
        <f t="shared" si="12"/>
        <v>72151</v>
      </c>
      <c r="K40" s="162">
        <f>H40/H$8</f>
        <v>0.23231714437948425</v>
      </c>
    </row>
    <row r="41" spans="2:14" x14ac:dyDescent="0.25">
      <c r="B41" s="164" t="s">
        <v>112</v>
      </c>
      <c r="C41" s="165">
        <v>640459</v>
      </c>
      <c r="D41" s="165">
        <v>146501</v>
      </c>
      <c r="E41" s="165">
        <v>142606</v>
      </c>
      <c r="F41" s="165">
        <v>581865</v>
      </c>
      <c r="G41" s="165">
        <v>634691</v>
      </c>
      <c r="H41" s="165">
        <v>683651</v>
      </c>
      <c r="I41" s="166">
        <f t="shared" ref="I41:I48" si="13">IFERROR(H41/G41-1,"-")</f>
        <v>7.7139899573178239E-2</v>
      </c>
      <c r="J41" s="165">
        <f t="shared" si="12"/>
        <v>48960</v>
      </c>
      <c r="K41" s="166">
        <f t="shared" ref="K41:K48" si="14">H41/H$8</f>
        <v>0.12474745815907216</v>
      </c>
    </row>
    <row r="42" spans="2:14" x14ac:dyDescent="0.25">
      <c r="B42" s="164" t="s">
        <v>115</v>
      </c>
      <c r="C42" s="165">
        <v>52401</v>
      </c>
      <c r="D42" s="165">
        <v>16159</v>
      </c>
      <c r="E42" s="165">
        <v>21846</v>
      </c>
      <c r="F42" s="165">
        <v>39072</v>
      </c>
      <c r="G42" s="165">
        <v>45133</v>
      </c>
      <c r="H42" s="165">
        <v>44501</v>
      </c>
      <c r="I42" s="166">
        <f t="shared" si="13"/>
        <v>-1.4003057629672355E-2</v>
      </c>
      <c r="J42" s="165">
        <f t="shared" si="12"/>
        <v>-632</v>
      </c>
      <c r="K42" s="166">
        <f t="shared" si="14"/>
        <v>8.1202055369433684E-3</v>
      </c>
    </row>
    <row r="43" spans="2:14" x14ac:dyDescent="0.25">
      <c r="B43" s="164" t="s">
        <v>118</v>
      </c>
      <c r="C43" s="165">
        <v>24405</v>
      </c>
      <c r="D43" s="165">
        <v>9702</v>
      </c>
      <c r="E43" s="165">
        <v>19919</v>
      </c>
      <c r="F43" s="165">
        <v>27268</v>
      </c>
      <c r="G43" s="165">
        <v>28898</v>
      </c>
      <c r="H43" s="165">
        <v>29098</v>
      </c>
      <c r="I43" s="166">
        <f t="shared" si="13"/>
        <v>6.9208941795280143E-3</v>
      </c>
      <c r="J43" s="165">
        <f t="shared" si="12"/>
        <v>200</v>
      </c>
      <c r="K43" s="166">
        <f t="shared" si="14"/>
        <v>5.3095827220506981E-3</v>
      </c>
    </row>
    <row r="44" spans="2:14" x14ac:dyDescent="0.25">
      <c r="B44" s="164" t="s">
        <v>125</v>
      </c>
      <c r="C44" s="165">
        <v>53890</v>
      </c>
      <c r="D44" s="165">
        <v>15410</v>
      </c>
      <c r="E44" s="165">
        <v>30677</v>
      </c>
      <c r="F44" s="165">
        <v>57015</v>
      </c>
      <c r="G44" s="165">
        <v>55478</v>
      </c>
      <c r="H44" s="165">
        <v>57898</v>
      </c>
      <c r="I44" s="166">
        <f t="shared" si="13"/>
        <v>4.3620894769097696E-2</v>
      </c>
      <c r="J44" s="165">
        <f t="shared" si="12"/>
        <v>2420</v>
      </c>
      <c r="K44" s="166">
        <f t="shared" si="14"/>
        <v>1.0564788660433408E-2</v>
      </c>
    </row>
    <row r="45" spans="2:14" x14ac:dyDescent="0.25">
      <c r="B45" s="164" t="s">
        <v>121</v>
      </c>
      <c r="C45" s="165">
        <v>41202</v>
      </c>
      <c r="D45" s="165">
        <v>15534</v>
      </c>
      <c r="E45" s="165">
        <v>22807</v>
      </c>
      <c r="F45" s="165">
        <v>38767</v>
      </c>
      <c r="G45" s="165">
        <v>44187</v>
      </c>
      <c r="H45" s="165">
        <v>44633</v>
      </c>
      <c r="I45" s="166">
        <f t="shared" si="13"/>
        <v>1.0093466404146101E-2</v>
      </c>
      <c r="J45" s="165">
        <f t="shared" si="12"/>
        <v>446</v>
      </c>
      <c r="K45" s="166">
        <f t="shared" si="14"/>
        <v>8.1442918974942886E-3</v>
      </c>
    </row>
    <row r="46" spans="2:14" x14ac:dyDescent="0.25">
      <c r="B46" s="164" t="s">
        <v>130</v>
      </c>
      <c r="C46" s="165">
        <v>26919</v>
      </c>
      <c r="D46" s="165">
        <v>9750</v>
      </c>
      <c r="E46" s="165">
        <v>10533</v>
      </c>
      <c r="F46" s="165">
        <v>22457</v>
      </c>
      <c r="G46" s="165">
        <v>23505</v>
      </c>
      <c r="H46" s="165">
        <v>22219</v>
      </c>
      <c r="I46" s="166">
        <f t="shared" si="13"/>
        <v>-5.4711763454584172E-2</v>
      </c>
      <c r="J46" s="165">
        <f t="shared" si="12"/>
        <v>-1286</v>
      </c>
      <c r="K46" s="166">
        <f t="shared" si="14"/>
        <v>4.0543548869765777E-3</v>
      </c>
    </row>
    <row r="47" spans="2:14" x14ac:dyDescent="0.25">
      <c r="B47" s="164" t="s">
        <v>133</v>
      </c>
      <c r="C47" s="165">
        <v>42509</v>
      </c>
      <c r="D47" s="165">
        <v>16737</v>
      </c>
      <c r="E47" s="165">
        <v>10472</v>
      </c>
      <c r="F47" s="165">
        <v>22560</v>
      </c>
      <c r="G47" s="165">
        <v>26526</v>
      </c>
      <c r="H47" s="165">
        <v>24735</v>
      </c>
      <c r="I47" s="166">
        <f t="shared" si="13"/>
        <v>-6.7518660936439767E-2</v>
      </c>
      <c r="J47" s="165">
        <f t="shared" si="12"/>
        <v>-1791</v>
      </c>
      <c r="K47" s="166">
        <f t="shared" si="14"/>
        <v>4.5134555168714011E-3</v>
      </c>
    </row>
    <row r="48" spans="2:14" x14ac:dyDescent="0.25">
      <c r="B48" s="169" t="s">
        <v>147</v>
      </c>
      <c r="C48" s="170">
        <f t="shared" ref="C48:H48" si="15">C40-SUM(C41:C47)</f>
        <v>289807</v>
      </c>
      <c r="D48" s="170">
        <f t="shared" si="15"/>
        <v>93792</v>
      </c>
      <c r="E48" s="170">
        <f t="shared" si="15"/>
        <v>149930</v>
      </c>
      <c r="F48" s="170">
        <f t="shared" si="15"/>
        <v>330580</v>
      </c>
      <c r="G48" s="170">
        <f t="shared" si="15"/>
        <v>342594</v>
      </c>
      <c r="H48" s="170">
        <f t="shared" si="15"/>
        <v>366428</v>
      </c>
      <c r="I48" s="171">
        <f t="shared" si="13"/>
        <v>6.9569227715605031E-2</v>
      </c>
      <c r="J48" s="170">
        <f>H48-G48</f>
        <v>23834</v>
      </c>
      <c r="K48" s="171">
        <f t="shared" si="14"/>
        <v>6.6863006999642358E-2</v>
      </c>
    </row>
    <row r="49" spans="2:14" x14ac:dyDescent="0.25">
      <c r="B49" s="156" t="s">
        <v>48</v>
      </c>
      <c r="C49" s="154"/>
      <c r="D49" s="154"/>
      <c r="E49" s="154"/>
      <c r="F49" s="154"/>
      <c r="G49" s="154"/>
      <c r="H49" s="155"/>
      <c r="I49" s="155"/>
      <c r="J49" s="155"/>
      <c r="K49" s="154"/>
      <c r="L49" s="172"/>
      <c r="M49" s="172"/>
      <c r="N49" s="172"/>
    </row>
    <row r="50" spans="2:14" x14ac:dyDescent="0.25">
      <c r="B50" s="157" t="s">
        <v>70</v>
      </c>
      <c r="C50" s="158">
        <v>45076</v>
      </c>
      <c r="D50" s="158">
        <v>12633</v>
      </c>
      <c r="E50" s="158">
        <v>20161</v>
      </c>
      <c r="F50" s="158">
        <v>37751</v>
      </c>
      <c r="G50" s="158">
        <v>51166</v>
      </c>
      <c r="H50" s="158">
        <v>43737</v>
      </c>
      <c r="I50" s="159">
        <f>IFERROR(H50/G50-1,"-")</f>
        <v>-0.14519407418989172</v>
      </c>
      <c r="J50" s="158">
        <f>H50-G50</f>
        <v>-7429</v>
      </c>
      <c r="K50" s="159">
        <f>H50/H$8</f>
        <v>7.9807966016334931E-3</v>
      </c>
      <c r="L50" s="107"/>
      <c r="M50" s="107"/>
      <c r="N50" s="107"/>
    </row>
    <row r="51" spans="2:14" x14ac:dyDescent="0.25">
      <c r="B51" s="160" t="s">
        <v>99</v>
      </c>
      <c r="C51" s="161">
        <v>10509</v>
      </c>
      <c r="D51" s="161">
        <v>2339</v>
      </c>
      <c r="E51" s="161">
        <v>4950</v>
      </c>
      <c r="F51" s="161">
        <v>6762</v>
      </c>
      <c r="G51" s="161">
        <v>20250</v>
      </c>
      <c r="H51" s="161">
        <v>11054</v>
      </c>
      <c r="I51" s="162">
        <f>IFERROR(H51/G51-1,"-")</f>
        <v>-0.45412345679012345</v>
      </c>
      <c r="J51" s="161">
        <f t="shared" ref="J51:J61" si="16">H51-G51</f>
        <v>-9196</v>
      </c>
      <c r="K51" s="162">
        <f>H51/H$8</f>
        <v>2.0170502237111974E-3</v>
      </c>
    </row>
    <row r="52" spans="2:14" x14ac:dyDescent="0.25">
      <c r="B52" s="164" t="s">
        <v>105</v>
      </c>
      <c r="C52" s="165">
        <v>5944</v>
      </c>
      <c r="D52" s="165">
        <v>1658</v>
      </c>
      <c r="E52" s="165">
        <v>2415</v>
      </c>
      <c r="F52" s="165">
        <v>3515</v>
      </c>
      <c r="G52" s="165">
        <v>14811</v>
      </c>
      <c r="H52" s="165">
        <v>7251</v>
      </c>
      <c r="I52" s="166">
        <f>IFERROR(H52/G52-1,"-")</f>
        <v>-0.51043143609479436</v>
      </c>
      <c r="J52" s="165">
        <f t="shared" si="16"/>
        <v>-7560</v>
      </c>
      <c r="K52" s="166">
        <f>H52/H$8</f>
        <v>1.323107578444897E-3</v>
      </c>
    </row>
    <row r="53" spans="2:14" x14ac:dyDescent="0.25">
      <c r="B53" s="164" t="s">
        <v>102</v>
      </c>
      <c r="C53" s="165">
        <v>4565</v>
      </c>
      <c r="D53" s="165">
        <v>681</v>
      </c>
      <c r="E53" s="165">
        <v>2535</v>
      </c>
      <c r="F53" s="165">
        <v>3247</v>
      </c>
      <c r="G53" s="165">
        <v>5439</v>
      </c>
      <c r="H53" s="165">
        <v>3803</v>
      </c>
      <c r="I53" s="166">
        <f>IFERROR(H53/G53-1,"-")</f>
        <v>-0.30079058650487223</v>
      </c>
      <c r="J53" s="165">
        <f t="shared" si="16"/>
        <v>-1636</v>
      </c>
      <c r="K53" s="166">
        <f>H53/H$8</f>
        <v>6.9394264526630026E-4</v>
      </c>
    </row>
    <row r="54" spans="2:14" x14ac:dyDescent="0.25">
      <c r="B54" s="160" t="s">
        <v>109</v>
      </c>
      <c r="C54" s="161">
        <v>34567</v>
      </c>
      <c r="D54" s="161">
        <v>10294</v>
      </c>
      <c r="E54" s="161">
        <v>15211</v>
      </c>
      <c r="F54" s="161">
        <v>30989</v>
      </c>
      <c r="G54" s="161">
        <v>30916</v>
      </c>
      <c r="H54" s="161">
        <v>32683</v>
      </c>
      <c r="I54" s="162">
        <f>IFERROR(H54/G54-1,"-")</f>
        <v>5.7154871264070373E-2</v>
      </c>
      <c r="J54" s="161">
        <f t="shared" si="16"/>
        <v>1767</v>
      </c>
      <c r="K54" s="162">
        <f>H54/H$8</f>
        <v>5.9637463779222957E-3</v>
      </c>
    </row>
    <row r="55" spans="2:14" x14ac:dyDescent="0.25">
      <c r="B55" s="164" t="s">
        <v>112</v>
      </c>
      <c r="C55" s="165">
        <v>10275</v>
      </c>
      <c r="D55" s="165">
        <v>3060</v>
      </c>
      <c r="E55" s="165">
        <v>3030</v>
      </c>
      <c r="F55" s="165">
        <v>10352</v>
      </c>
      <c r="G55" s="165">
        <v>9308</v>
      </c>
      <c r="H55" s="165">
        <v>11037</v>
      </c>
      <c r="I55" s="166">
        <f t="shared" ref="I55:I62" si="17">IFERROR(H55/G55-1,"-")</f>
        <v>0.18575418994413417</v>
      </c>
      <c r="J55" s="165">
        <f t="shared" si="16"/>
        <v>1729</v>
      </c>
      <c r="K55" s="166">
        <f t="shared" ref="K55:K62" si="18">H55/H$8</f>
        <v>2.013948192428124E-3</v>
      </c>
    </row>
    <row r="56" spans="2:14" x14ac:dyDescent="0.25">
      <c r="B56" s="164" t="s">
        <v>115</v>
      </c>
      <c r="C56" s="165">
        <v>9881</v>
      </c>
      <c r="D56" s="165">
        <v>2874</v>
      </c>
      <c r="E56" s="165">
        <v>5150</v>
      </c>
      <c r="F56" s="165">
        <v>6811</v>
      </c>
      <c r="G56" s="165">
        <v>6211</v>
      </c>
      <c r="H56" s="165">
        <v>6595</v>
      </c>
      <c r="I56" s="166">
        <f t="shared" si="17"/>
        <v>6.1825792947995506E-2</v>
      </c>
      <c r="J56" s="165">
        <f t="shared" si="16"/>
        <v>384</v>
      </c>
      <c r="K56" s="166">
        <f t="shared" si="18"/>
        <v>1.2034056654039575E-3</v>
      </c>
    </row>
    <row r="57" spans="2:14" x14ac:dyDescent="0.25">
      <c r="B57" s="164" t="s">
        <v>118</v>
      </c>
      <c r="C57" s="165">
        <v>2186</v>
      </c>
      <c r="D57" s="165">
        <v>544</v>
      </c>
      <c r="E57" s="165">
        <v>1642</v>
      </c>
      <c r="F57" s="165">
        <v>2746</v>
      </c>
      <c r="G57" s="165">
        <v>2942</v>
      </c>
      <c r="H57" s="165">
        <v>2300</v>
      </c>
      <c r="I57" s="166">
        <f t="shared" si="17"/>
        <v>-0.21821889870836164</v>
      </c>
      <c r="J57" s="165">
        <f t="shared" si="16"/>
        <v>-642</v>
      </c>
      <c r="K57" s="166">
        <f t="shared" si="18"/>
        <v>4.1968658535695259E-4</v>
      </c>
    </row>
    <row r="58" spans="2:14" x14ac:dyDescent="0.25">
      <c r="B58" s="164" t="s">
        <v>125</v>
      </c>
      <c r="C58" s="165">
        <v>731</v>
      </c>
      <c r="D58" s="165">
        <v>284</v>
      </c>
      <c r="E58" s="165">
        <v>377</v>
      </c>
      <c r="F58" s="165">
        <v>868</v>
      </c>
      <c r="G58" s="165">
        <v>832</v>
      </c>
      <c r="H58" s="165">
        <v>1093</v>
      </c>
      <c r="I58" s="166">
        <f t="shared" si="17"/>
        <v>0.31370192307692313</v>
      </c>
      <c r="J58" s="165">
        <f t="shared" si="16"/>
        <v>261</v>
      </c>
      <c r="K58" s="166">
        <f t="shared" si="18"/>
        <v>1.994423642587605E-4</v>
      </c>
    </row>
    <row r="59" spans="2:14" x14ac:dyDescent="0.25">
      <c r="B59" s="164" t="s">
        <v>121</v>
      </c>
      <c r="C59" s="165">
        <v>686</v>
      </c>
      <c r="D59" s="165">
        <v>229</v>
      </c>
      <c r="E59" s="165">
        <v>476</v>
      </c>
      <c r="F59" s="165">
        <v>657</v>
      </c>
      <c r="G59" s="165">
        <v>709</v>
      </c>
      <c r="H59" s="165">
        <v>810</v>
      </c>
      <c r="I59" s="166">
        <f t="shared" si="17"/>
        <v>0.14245416078984485</v>
      </c>
      <c r="J59" s="165">
        <f t="shared" si="16"/>
        <v>101</v>
      </c>
      <c r="K59" s="166">
        <f t="shared" si="18"/>
        <v>1.4780266701701372E-4</v>
      </c>
    </row>
    <row r="60" spans="2:14" x14ac:dyDescent="0.25">
      <c r="B60" s="164" t="s">
        <v>130</v>
      </c>
      <c r="C60" s="165">
        <v>281</v>
      </c>
      <c r="D60" s="165">
        <v>136</v>
      </c>
      <c r="E60" s="165">
        <v>98</v>
      </c>
      <c r="F60" s="165">
        <v>136</v>
      </c>
      <c r="G60" s="165">
        <v>243</v>
      </c>
      <c r="H60" s="165">
        <v>141</v>
      </c>
      <c r="I60" s="166">
        <f t="shared" si="17"/>
        <v>-0.41975308641975306</v>
      </c>
      <c r="J60" s="165">
        <f t="shared" si="16"/>
        <v>-102</v>
      </c>
      <c r="K60" s="166">
        <f t="shared" si="18"/>
        <v>2.5728612406665352E-5</v>
      </c>
    </row>
    <row r="61" spans="2:14" x14ac:dyDescent="0.25">
      <c r="B61" s="164" t="s">
        <v>133</v>
      </c>
      <c r="C61" s="165">
        <v>591</v>
      </c>
      <c r="D61" s="165">
        <v>217</v>
      </c>
      <c r="E61" s="165">
        <v>91</v>
      </c>
      <c r="F61" s="165">
        <v>153</v>
      </c>
      <c r="G61" s="165">
        <v>195</v>
      </c>
      <c r="H61" s="165">
        <v>156</v>
      </c>
      <c r="I61" s="166">
        <f t="shared" si="17"/>
        <v>-0.19999999999999996</v>
      </c>
      <c r="J61" s="165">
        <f t="shared" si="16"/>
        <v>-39</v>
      </c>
      <c r="K61" s="166">
        <f t="shared" si="18"/>
        <v>2.8465698832906347E-5</v>
      </c>
    </row>
    <row r="62" spans="2:14" x14ac:dyDescent="0.25">
      <c r="B62" s="169" t="s">
        <v>147</v>
      </c>
      <c r="C62" s="170">
        <f t="shared" ref="C62:H62" si="19">C54-SUM(C55:C61)</f>
        <v>9936</v>
      </c>
      <c r="D62" s="170">
        <f t="shared" si="19"/>
        <v>2950</v>
      </c>
      <c r="E62" s="170">
        <f t="shared" si="19"/>
        <v>4347</v>
      </c>
      <c r="F62" s="170">
        <f t="shared" si="19"/>
        <v>9266</v>
      </c>
      <c r="G62" s="170">
        <f t="shared" si="19"/>
        <v>10476</v>
      </c>
      <c r="H62" s="170">
        <f t="shared" si="19"/>
        <v>10551</v>
      </c>
      <c r="I62" s="171">
        <f t="shared" si="17"/>
        <v>7.1592210767468245E-3</v>
      </c>
      <c r="J62" s="170">
        <f>H62-G62</f>
        <v>75</v>
      </c>
      <c r="K62" s="171">
        <f t="shared" si="18"/>
        <v>1.9252665922179159E-3</v>
      </c>
    </row>
    <row r="63" spans="2:14" x14ac:dyDescent="0.25">
      <c r="B63" s="156" t="s">
        <v>49</v>
      </c>
      <c r="C63" s="154"/>
      <c r="D63" s="154"/>
      <c r="E63" s="154"/>
      <c r="F63" s="154"/>
      <c r="G63" s="154"/>
      <c r="H63" s="155"/>
      <c r="I63" s="155"/>
      <c r="J63" s="155"/>
      <c r="K63" s="154"/>
      <c r="L63" s="172"/>
      <c r="M63" s="172"/>
      <c r="N63" s="172"/>
    </row>
    <row r="64" spans="2:14" x14ac:dyDescent="0.25">
      <c r="B64" s="157" t="s">
        <v>70</v>
      </c>
      <c r="C64" s="158">
        <v>137126</v>
      </c>
      <c r="D64" s="158">
        <v>55313</v>
      </c>
      <c r="E64" s="158">
        <v>70304</v>
      </c>
      <c r="F64" s="158">
        <v>161080</v>
      </c>
      <c r="G64" s="158">
        <v>179837</v>
      </c>
      <c r="H64" s="158">
        <v>231856</v>
      </c>
      <c r="I64" s="159">
        <f>IFERROR(H64/G64-1,"-")</f>
        <v>0.28925638216829674</v>
      </c>
      <c r="J64" s="158">
        <f>H64-G64</f>
        <v>52019</v>
      </c>
      <c r="K64" s="159">
        <f>H64/H$8</f>
        <v>4.2307327362835476E-2</v>
      </c>
      <c r="L64" s="107"/>
      <c r="M64" s="107"/>
      <c r="N64" s="107"/>
    </row>
    <row r="65" spans="2:14" x14ac:dyDescent="0.25">
      <c r="B65" s="160" t="s">
        <v>99</v>
      </c>
      <c r="C65" s="161">
        <v>41904</v>
      </c>
      <c r="D65" s="161">
        <v>24273</v>
      </c>
      <c r="E65" s="161">
        <v>26311</v>
      </c>
      <c r="F65" s="161">
        <v>32375</v>
      </c>
      <c r="G65" s="161">
        <v>47068</v>
      </c>
      <c r="H65" s="161">
        <v>61312</v>
      </c>
      <c r="I65" s="162">
        <f>IFERROR(H65/G65-1,"-")</f>
        <v>0.30262598793235318</v>
      </c>
      <c r="J65" s="161">
        <f t="shared" ref="J65:J75" si="20">H65-G65</f>
        <v>14244</v>
      </c>
      <c r="K65" s="162">
        <f>H65/H$8</f>
        <v>1.1187749531045859E-2</v>
      </c>
    </row>
    <row r="66" spans="2:14" x14ac:dyDescent="0.25">
      <c r="B66" s="164" t="s">
        <v>105</v>
      </c>
      <c r="C66" s="165">
        <v>22752</v>
      </c>
      <c r="D66" s="165">
        <v>8930</v>
      </c>
      <c r="E66" s="165">
        <v>21567</v>
      </c>
      <c r="F66" s="165">
        <v>23338</v>
      </c>
      <c r="G66" s="165">
        <v>31999</v>
      </c>
      <c r="H66" s="165">
        <v>37562</v>
      </c>
      <c r="I66" s="166">
        <f>IFERROR(H66/G66-1,"-")</f>
        <v>0.17384918278696215</v>
      </c>
      <c r="J66" s="165">
        <f t="shared" si="20"/>
        <v>5563</v>
      </c>
      <c r="K66" s="166">
        <f>H66/H$8</f>
        <v>6.8540293561642832E-3</v>
      </c>
    </row>
    <row r="67" spans="2:14" x14ac:dyDescent="0.25">
      <c r="B67" s="164" t="s">
        <v>102</v>
      </c>
      <c r="C67" s="165">
        <v>19152</v>
      </c>
      <c r="D67" s="165">
        <v>15343</v>
      </c>
      <c r="E67" s="165">
        <v>4744</v>
      </c>
      <c r="F67" s="165">
        <v>9037</v>
      </c>
      <c r="G67" s="165">
        <v>15069</v>
      </c>
      <c r="H67" s="165">
        <v>23750</v>
      </c>
      <c r="I67" s="166">
        <f>IFERROR(H67/G67-1,"-")</f>
        <v>0.57608334992368437</v>
      </c>
      <c r="J67" s="165">
        <f t="shared" si="20"/>
        <v>8681</v>
      </c>
      <c r="K67" s="166">
        <f>H67/H$8</f>
        <v>4.3337201748815755E-3</v>
      </c>
    </row>
    <row r="68" spans="2:14" x14ac:dyDescent="0.25">
      <c r="B68" s="160" t="s">
        <v>109</v>
      </c>
      <c r="C68" s="161">
        <v>95222</v>
      </c>
      <c r="D68" s="161">
        <v>31040</v>
      </c>
      <c r="E68" s="161">
        <v>43993</v>
      </c>
      <c r="F68" s="161">
        <v>128705</v>
      </c>
      <c r="G68" s="161">
        <v>132769</v>
      </c>
      <c r="H68" s="161">
        <v>170544</v>
      </c>
      <c r="I68" s="162">
        <f>IFERROR(H68/G68-1,"-")</f>
        <v>0.28451671700472247</v>
      </c>
      <c r="J68" s="161">
        <f t="shared" si="20"/>
        <v>37775</v>
      </c>
      <c r="K68" s="162">
        <f>H68/H$8</f>
        <v>3.1119577831789615E-2</v>
      </c>
    </row>
    <row r="69" spans="2:14" x14ac:dyDescent="0.25">
      <c r="B69" s="164" t="s">
        <v>112</v>
      </c>
      <c r="C69" s="165">
        <v>41026</v>
      </c>
      <c r="D69" s="165">
        <v>13899</v>
      </c>
      <c r="E69" s="165">
        <v>12264</v>
      </c>
      <c r="F69" s="165">
        <v>56081</v>
      </c>
      <c r="G69" s="165">
        <v>50457</v>
      </c>
      <c r="H69" s="165">
        <v>73242</v>
      </c>
      <c r="I69" s="166">
        <f t="shared" ref="I69:I76" si="21">IFERROR(H69/G69-1,"-")</f>
        <v>0.45157262619656335</v>
      </c>
      <c r="J69" s="165">
        <f t="shared" si="20"/>
        <v>22785</v>
      </c>
      <c r="K69" s="166">
        <f t="shared" ref="K69:K76" si="22">H69/H$8</f>
        <v>1.336464560204953E-2</v>
      </c>
    </row>
    <row r="70" spans="2:14" x14ac:dyDescent="0.25">
      <c r="B70" s="164" t="s">
        <v>115</v>
      </c>
      <c r="C70" s="165">
        <v>11534</v>
      </c>
      <c r="D70" s="165">
        <v>3374</v>
      </c>
      <c r="E70" s="165">
        <v>3586</v>
      </c>
      <c r="F70" s="165">
        <v>7748</v>
      </c>
      <c r="G70" s="165">
        <v>10955</v>
      </c>
      <c r="H70" s="165">
        <v>10731</v>
      </c>
      <c r="I70" s="166">
        <f t="shared" si="21"/>
        <v>-2.0447284345047945E-2</v>
      </c>
      <c r="J70" s="165">
        <f t="shared" si="20"/>
        <v>-224</v>
      </c>
      <c r="K70" s="166">
        <f t="shared" si="22"/>
        <v>1.9581116293328079E-3</v>
      </c>
    </row>
    <row r="71" spans="2:14" x14ac:dyDescent="0.25">
      <c r="B71" s="164" t="s">
        <v>118</v>
      </c>
      <c r="C71" s="165">
        <v>10880</v>
      </c>
      <c r="D71" s="165">
        <v>3449</v>
      </c>
      <c r="E71" s="165">
        <v>6294</v>
      </c>
      <c r="F71" s="165">
        <v>18047</v>
      </c>
      <c r="G71" s="165">
        <v>15837</v>
      </c>
      <c r="H71" s="165">
        <v>19123</v>
      </c>
      <c r="I71" s="166">
        <f t="shared" si="21"/>
        <v>0.20748879206920501</v>
      </c>
      <c r="J71" s="165">
        <f t="shared" si="20"/>
        <v>3286</v>
      </c>
      <c r="K71" s="166">
        <f t="shared" si="22"/>
        <v>3.4894202486004363E-3</v>
      </c>
    </row>
    <row r="72" spans="2:14" x14ac:dyDescent="0.25">
      <c r="B72" s="164" t="s">
        <v>125</v>
      </c>
      <c r="C72" s="165">
        <v>1784</v>
      </c>
      <c r="D72" s="165">
        <v>536</v>
      </c>
      <c r="E72" s="165">
        <v>3888</v>
      </c>
      <c r="F72" s="165">
        <v>3396</v>
      </c>
      <c r="G72" s="165">
        <v>3947</v>
      </c>
      <c r="H72" s="165">
        <v>6454</v>
      </c>
      <c r="I72" s="166">
        <f t="shared" si="21"/>
        <v>0.63516594882189015</v>
      </c>
      <c r="J72" s="165">
        <f t="shared" si="20"/>
        <v>2507</v>
      </c>
      <c r="K72" s="166">
        <f t="shared" si="22"/>
        <v>1.1776770529972921E-3</v>
      </c>
    </row>
    <row r="73" spans="2:14" x14ac:dyDescent="0.25">
      <c r="B73" s="164" t="s">
        <v>121</v>
      </c>
      <c r="C73" s="165">
        <v>2469</v>
      </c>
      <c r="D73" s="165">
        <v>1278</v>
      </c>
      <c r="E73" s="165">
        <v>1635</v>
      </c>
      <c r="F73" s="165">
        <v>3248</v>
      </c>
      <c r="G73" s="165">
        <v>2699</v>
      </c>
      <c r="H73" s="165">
        <v>4219</v>
      </c>
      <c r="I73" s="166">
        <f t="shared" si="21"/>
        <v>0.56317154501667277</v>
      </c>
      <c r="J73" s="165">
        <f t="shared" si="20"/>
        <v>1520</v>
      </c>
      <c r="K73" s="166">
        <f t="shared" si="22"/>
        <v>7.6985117548738385E-4</v>
      </c>
    </row>
    <row r="74" spans="2:14" x14ac:dyDescent="0.25">
      <c r="B74" s="164" t="s">
        <v>130</v>
      </c>
      <c r="C74" s="165">
        <v>2202</v>
      </c>
      <c r="D74" s="165">
        <v>686</v>
      </c>
      <c r="E74" s="165">
        <v>1848</v>
      </c>
      <c r="F74" s="165">
        <v>2875</v>
      </c>
      <c r="G74" s="165">
        <v>3786</v>
      </c>
      <c r="H74" s="165">
        <v>3186</v>
      </c>
      <c r="I74" s="166">
        <f t="shared" si="21"/>
        <v>-0.15847860538827263</v>
      </c>
      <c r="J74" s="165">
        <f t="shared" si="20"/>
        <v>-600</v>
      </c>
      <c r="K74" s="166">
        <f t="shared" si="22"/>
        <v>5.8135715693358734E-4</v>
      </c>
    </row>
    <row r="75" spans="2:14" x14ac:dyDescent="0.25">
      <c r="B75" s="164" t="s">
        <v>133</v>
      </c>
      <c r="C75" s="165">
        <v>2302</v>
      </c>
      <c r="D75" s="165">
        <v>932</v>
      </c>
      <c r="E75" s="165">
        <v>363</v>
      </c>
      <c r="F75" s="165">
        <v>967</v>
      </c>
      <c r="G75" s="165">
        <v>1128</v>
      </c>
      <c r="H75" s="165">
        <v>3135</v>
      </c>
      <c r="I75" s="166">
        <f t="shared" si="21"/>
        <v>1.7792553191489362</v>
      </c>
      <c r="J75" s="165">
        <f t="shared" si="20"/>
        <v>2007</v>
      </c>
      <c r="K75" s="166">
        <f t="shared" si="22"/>
        <v>5.7205106308436799E-4</v>
      </c>
    </row>
    <row r="76" spans="2:14" x14ac:dyDescent="0.25">
      <c r="B76" s="169" t="s">
        <v>147</v>
      </c>
      <c r="C76" s="170">
        <f t="shared" ref="C76:H76" si="23">C68-SUM(C69:C75)</f>
        <v>23025</v>
      </c>
      <c r="D76" s="170">
        <f t="shared" si="23"/>
        <v>6886</v>
      </c>
      <c r="E76" s="170">
        <f t="shared" si="23"/>
        <v>14115</v>
      </c>
      <c r="F76" s="170">
        <f t="shared" si="23"/>
        <v>36343</v>
      </c>
      <c r="G76" s="170">
        <f t="shared" si="23"/>
        <v>43960</v>
      </c>
      <c r="H76" s="170">
        <f t="shared" si="23"/>
        <v>50454</v>
      </c>
      <c r="I76" s="171">
        <f t="shared" si="21"/>
        <v>0.14772520473157424</v>
      </c>
      <c r="J76" s="170">
        <f>H76-G76</f>
        <v>6494</v>
      </c>
      <c r="K76" s="171">
        <f t="shared" si="22"/>
        <v>9.2064639033042107E-3</v>
      </c>
    </row>
    <row r="77" spans="2:14" x14ac:dyDescent="0.25">
      <c r="B77" s="156" t="s">
        <v>50</v>
      </c>
      <c r="C77" s="154"/>
      <c r="D77" s="154"/>
      <c r="E77" s="154"/>
      <c r="F77" s="154"/>
      <c r="G77" s="154"/>
      <c r="H77" s="155"/>
      <c r="I77" s="155"/>
      <c r="J77" s="155"/>
      <c r="K77" s="154"/>
      <c r="L77" s="172"/>
      <c r="M77" s="172"/>
      <c r="N77" s="172"/>
    </row>
    <row r="78" spans="2:14" x14ac:dyDescent="0.25">
      <c r="B78" s="157" t="s">
        <v>70</v>
      </c>
      <c r="C78" s="158">
        <v>791721</v>
      </c>
      <c r="D78" s="158">
        <v>225835</v>
      </c>
      <c r="E78" s="158">
        <v>354204</v>
      </c>
      <c r="F78" s="158">
        <v>710225</v>
      </c>
      <c r="G78" s="158">
        <v>797848</v>
      </c>
      <c r="H78" s="158">
        <v>914356</v>
      </c>
      <c r="I78" s="159">
        <f>IFERROR(H78/G78-1,"-")</f>
        <v>0.14602781482187077</v>
      </c>
      <c r="J78" s="158">
        <f>H78-G78</f>
        <v>116508</v>
      </c>
      <c r="K78" s="159">
        <f>H78/H$8</f>
        <v>0.16684475975680074</v>
      </c>
      <c r="L78" s="107"/>
      <c r="M78" s="107"/>
      <c r="N78" s="107"/>
    </row>
    <row r="79" spans="2:14" x14ac:dyDescent="0.25">
      <c r="B79" s="160" t="s">
        <v>99</v>
      </c>
      <c r="C79" s="161">
        <v>356283</v>
      </c>
      <c r="D79" s="161">
        <v>103133</v>
      </c>
      <c r="E79" s="161">
        <v>181693</v>
      </c>
      <c r="F79" s="161">
        <v>342343</v>
      </c>
      <c r="G79" s="161">
        <v>341923</v>
      </c>
      <c r="H79" s="161">
        <v>382237</v>
      </c>
      <c r="I79" s="162">
        <f>IFERROR(H79/G79-1,"-")</f>
        <v>0.1179037385610211</v>
      </c>
      <c r="J79" s="161">
        <f t="shared" ref="J79:J89" si="24">H79-G79</f>
        <v>40314</v>
      </c>
      <c r="K79" s="162">
        <f>H79/H$8</f>
        <v>6.9747713620471941E-2</v>
      </c>
    </row>
    <row r="80" spans="2:14" x14ac:dyDescent="0.25">
      <c r="B80" s="164" t="s">
        <v>105</v>
      </c>
      <c r="C80" s="165">
        <v>72064</v>
      </c>
      <c r="D80" s="165">
        <v>28320</v>
      </c>
      <c r="E80" s="165">
        <v>66989</v>
      </c>
      <c r="F80" s="165">
        <v>97391</v>
      </c>
      <c r="G80" s="165">
        <v>92103</v>
      </c>
      <c r="H80" s="165">
        <v>106284</v>
      </c>
      <c r="I80" s="166">
        <f>IFERROR(H80/G80-1,"-")</f>
        <v>0.15396892609361257</v>
      </c>
      <c r="J80" s="165">
        <f t="shared" si="24"/>
        <v>14181</v>
      </c>
      <c r="K80" s="166">
        <f>H80/H$8</f>
        <v>1.9393899581773195E-2</v>
      </c>
    </row>
    <row r="81" spans="2:14" x14ac:dyDescent="0.25">
      <c r="B81" s="164" t="s">
        <v>102</v>
      </c>
      <c r="C81" s="165">
        <v>284219</v>
      </c>
      <c r="D81" s="165">
        <v>74813</v>
      </c>
      <c r="E81" s="165">
        <v>114704</v>
      </c>
      <c r="F81" s="165">
        <v>244952</v>
      </c>
      <c r="G81" s="165">
        <v>249820</v>
      </c>
      <c r="H81" s="165">
        <v>275953</v>
      </c>
      <c r="I81" s="166">
        <f>IFERROR(H81/G81-1,"-")</f>
        <v>0.1046073172684332</v>
      </c>
      <c r="J81" s="165">
        <f t="shared" si="24"/>
        <v>26133</v>
      </c>
      <c r="K81" s="166">
        <f>H81/H$8</f>
        <v>5.0353814038698749E-2</v>
      </c>
    </row>
    <row r="82" spans="2:14" x14ac:dyDescent="0.25">
      <c r="B82" s="160" t="s">
        <v>109</v>
      </c>
      <c r="C82" s="161">
        <v>435438</v>
      </c>
      <c r="D82" s="161">
        <v>122702</v>
      </c>
      <c r="E82" s="161">
        <v>172511</v>
      </c>
      <c r="F82" s="161">
        <v>367882</v>
      </c>
      <c r="G82" s="161">
        <v>455925</v>
      </c>
      <c r="H82" s="161">
        <v>532119</v>
      </c>
      <c r="I82" s="162">
        <f>IFERROR(H82/G82-1,"-")</f>
        <v>0.16711959203816407</v>
      </c>
      <c r="J82" s="161">
        <f t="shared" si="24"/>
        <v>76194</v>
      </c>
      <c r="K82" s="162">
        <f>H82/H$8</f>
        <v>9.7097046136328802E-2</v>
      </c>
    </row>
    <row r="83" spans="2:14" x14ac:dyDescent="0.25">
      <c r="B83" s="164" t="s">
        <v>112</v>
      </c>
      <c r="C83" s="165">
        <v>75049</v>
      </c>
      <c r="D83" s="165">
        <v>21332</v>
      </c>
      <c r="E83" s="165">
        <v>16695</v>
      </c>
      <c r="F83" s="165">
        <v>71554</v>
      </c>
      <c r="G83" s="165">
        <v>93860</v>
      </c>
      <c r="H83" s="165">
        <v>110313</v>
      </c>
      <c r="I83" s="166">
        <f t="shared" ref="I83:I90" si="25">IFERROR(H83/G83-1,"-")</f>
        <v>0.17529298955891748</v>
      </c>
      <c r="J83" s="165">
        <f t="shared" si="24"/>
        <v>16453</v>
      </c>
      <c r="K83" s="166">
        <f t="shared" ref="K83:K90" si="26">H83/H$8</f>
        <v>2.0129080995861526E-2</v>
      </c>
    </row>
    <row r="84" spans="2:14" x14ac:dyDescent="0.25">
      <c r="B84" s="164" t="s">
        <v>115</v>
      </c>
      <c r="C84" s="165">
        <v>159354</v>
      </c>
      <c r="D84" s="165">
        <v>39522</v>
      </c>
      <c r="E84" s="165">
        <v>53227</v>
      </c>
      <c r="F84" s="165">
        <v>113120</v>
      </c>
      <c r="G84" s="165">
        <v>127349</v>
      </c>
      <c r="H84" s="165">
        <v>141364</v>
      </c>
      <c r="I84" s="166">
        <f t="shared" si="25"/>
        <v>0.11005190460859526</v>
      </c>
      <c r="J84" s="165">
        <f t="shared" si="24"/>
        <v>14015</v>
      </c>
      <c r="K84" s="166">
        <f t="shared" si="26"/>
        <v>2.57950323706088E-2</v>
      </c>
    </row>
    <row r="85" spans="2:14" x14ac:dyDescent="0.25">
      <c r="B85" s="164" t="s">
        <v>118</v>
      </c>
      <c r="C85" s="165">
        <v>25447</v>
      </c>
      <c r="D85" s="165">
        <v>8286</v>
      </c>
      <c r="E85" s="165">
        <v>19927</v>
      </c>
      <c r="F85" s="165">
        <v>30758</v>
      </c>
      <c r="G85" s="165">
        <v>42539</v>
      </c>
      <c r="H85" s="165">
        <v>57925</v>
      </c>
      <c r="I85" s="166">
        <f t="shared" si="25"/>
        <v>0.36169162415665634</v>
      </c>
      <c r="J85" s="165">
        <f t="shared" si="24"/>
        <v>15386</v>
      </c>
      <c r="K85" s="166">
        <f t="shared" si="26"/>
        <v>1.0569715416000642E-2</v>
      </c>
    </row>
    <row r="86" spans="2:14" x14ac:dyDescent="0.25">
      <c r="B86" s="164" t="s">
        <v>125</v>
      </c>
      <c r="C86" s="165">
        <v>9296</v>
      </c>
      <c r="D86" s="165">
        <v>2074</v>
      </c>
      <c r="E86" s="165">
        <v>5996</v>
      </c>
      <c r="F86" s="165">
        <v>10713</v>
      </c>
      <c r="G86" s="165">
        <v>12911</v>
      </c>
      <c r="H86" s="165">
        <v>18498</v>
      </c>
      <c r="I86" s="166">
        <f t="shared" si="25"/>
        <v>0.43273177910309046</v>
      </c>
      <c r="J86" s="165">
        <f t="shared" si="24"/>
        <v>5587</v>
      </c>
      <c r="K86" s="166">
        <f t="shared" si="26"/>
        <v>3.375374980840395E-3</v>
      </c>
    </row>
    <row r="87" spans="2:14" x14ac:dyDescent="0.25">
      <c r="B87" s="164" t="s">
        <v>121</v>
      </c>
      <c r="C87" s="165">
        <v>6249</v>
      </c>
      <c r="D87" s="165">
        <v>2082</v>
      </c>
      <c r="E87" s="165">
        <v>5201</v>
      </c>
      <c r="F87" s="165">
        <v>5872</v>
      </c>
      <c r="G87" s="165">
        <v>6968</v>
      </c>
      <c r="H87" s="165">
        <v>8896</v>
      </c>
      <c r="I87" s="166">
        <f t="shared" si="25"/>
        <v>0.27669345579793347</v>
      </c>
      <c r="J87" s="165">
        <f t="shared" si="24"/>
        <v>1928</v>
      </c>
      <c r="K87" s="166">
        <f t="shared" si="26"/>
        <v>1.623274723189326E-3</v>
      </c>
    </row>
    <row r="88" spans="2:14" x14ac:dyDescent="0.25">
      <c r="B88" s="164" t="s">
        <v>130</v>
      </c>
      <c r="C88" s="165">
        <v>8520</v>
      </c>
      <c r="D88" s="165">
        <v>3046</v>
      </c>
      <c r="E88" s="165">
        <v>2575</v>
      </c>
      <c r="F88" s="165">
        <v>7581</v>
      </c>
      <c r="G88" s="165">
        <v>8524</v>
      </c>
      <c r="H88" s="165">
        <v>7383</v>
      </c>
      <c r="I88" s="166">
        <f t="shared" si="25"/>
        <v>-0.13385734396996718</v>
      </c>
      <c r="J88" s="165">
        <f t="shared" si="24"/>
        <v>-1141</v>
      </c>
      <c r="K88" s="166">
        <f t="shared" si="26"/>
        <v>1.3471939389958177E-3</v>
      </c>
    </row>
    <row r="89" spans="2:14" x14ac:dyDescent="0.25">
      <c r="B89" s="164" t="s">
        <v>133</v>
      </c>
      <c r="C89" s="165">
        <v>13181</v>
      </c>
      <c r="D89" s="165">
        <v>4839</v>
      </c>
      <c r="E89" s="165">
        <v>2819</v>
      </c>
      <c r="F89" s="165">
        <v>7599</v>
      </c>
      <c r="G89" s="165">
        <v>9961</v>
      </c>
      <c r="H89" s="165">
        <v>9541</v>
      </c>
      <c r="I89" s="166">
        <f t="shared" si="25"/>
        <v>-4.216444132115249E-2</v>
      </c>
      <c r="J89" s="165">
        <f t="shared" si="24"/>
        <v>-420</v>
      </c>
      <c r="K89" s="166">
        <f t="shared" si="26"/>
        <v>1.7409694395176889E-3</v>
      </c>
    </row>
    <row r="90" spans="2:14" x14ac:dyDescent="0.25">
      <c r="B90" s="169" t="s">
        <v>147</v>
      </c>
      <c r="C90" s="170">
        <f t="shared" ref="C90:H90" si="27">C82-SUM(C83:C89)</f>
        <v>138342</v>
      </c>
      <c r="D90" s="170">
        <f t="shared" si="27"/>
        <v>41521</v>
      </c>
      <c r="E90" s="170">
        <f t="shared" si="27"/>
        <v>66071</v>
      </c>
      <c r="F90" s="170">
        <f t="shared" si="27"/>
        <v>120685</v>
      </c>
      <c r="G90" s="170">
        <f t="shared" si="27"/>
        <v>153813</v>
      </c>
      <c r="H90" s="170">
        <f t="shared" si="27"/>
        <v>178199</v>
      </c>
      <c r="I90" s="171">
        <f t="shared" si="25"/>
        <v>0.15854316605228425</v>
      </c>
      <c r="J90" s="170">
        <f>H90-G90</f>
        <v>24386</v>
      </c>
      <c r="K90" s="171">
        <f t="shared" si="26"/>
        <v>3.2516404271314601E-2</v>
      </c>
    </row>
    <row r="91" spans="2:14" x14ac:dyDescent="0.25">
      <c r="B91" s="156" t="s">
        <v>51</v>
      </c>
      <c r="C91" s="154"/>
      <c r="D91" s="154"/>
      <c r="E91" s="154"/>
      <c r="F91" s="154"/>
      <c r="G91" s="154"/>
      <c r="H91" s="155"/>
      <c r="I91" s="155"/>
      <c r="J91" s="155"/>
      <c r="K91" s="154"/>
      <c r="L91" s="172"/>
      <c r="M91" s="172"/>
      <c r="N91" s="172"/>
    </row>
    <row r="92" spans="2:14" x14ac:dyDescent="0.25">
      <c r="B92" s="157" t="s">
        <v>70</v>
      </c>
      <c r="C92" s="158">
        <v>55887</v>
      </c>
      <c r="D92" s="158">
        <v>24221</v>
      </c>
      <c r="E92" s="158">
        <v>33444</v>
      </c>
      <c r="F92" s="158">
        <v>51485</v>
      </c>
      <c r="G92" s="158">
        <v>58157</v>
      </c>
      <c r="H92" s="158">
        <v>57388</v>
      </c>
      <c r="I92" s="159">
        <f>IFERROR(H92/G92-1,"-")</f>
        <v>-1.3222827862510056E-2</v>
      </c>
      <c r="J92" s="158">
        <f>H92-G92</f>
        <v>-769</v>
      </c>
      <c r="K92" s="159">
        <f>H92/H$8</f>
        <v>1.0471727721941215E-2</v>
      </c>
      <c r="L92" s="107"/>
      <c r="M92" s="107"/>
      <c r="N92" s="107"/>
    </row>
    <row r="93" spans="2:14" x14ac:dyDescent="0.25">
      <c r="B93" s="160" t="s">
        <v>99</v>
      </c>
      <c r="C93" s="161">
        <v>37119</v>
      </c>
      <c r="D93" s="161">
        <v>16023</v>
      </c>
      <c r="E93" s="161">
        <v>21732</v>
      </c>
      <c r="F93" s="161">
        <v>33809</v>
      </c>
      <c r="G93" s="161">
        <v>37722</v>
      </c>
      <c r="H93" s="161">
        <v>35821</v>
      </c>
      <c r="I93" s="162">
        <f>IFERROR(H93/G93-1,"-")</f>
        <v>-5.0394994963151474E-2</v>
      </c>
      <c r="J93" s="161">
        <f t="shared" ref="J93:J103" si="28">H93-G93</f>
        <v>-1901</v>
      </c>
      <c r="K93" s="162">
        <f>H93/H$8</f>
        <v>6.5363448582919119E-3</v>
      </c>
    </row>
    <row r="94" spans="2:14" x14ac:dyDescent="0.25">
      <c r="B94" s="164" t="s">
        <v>105</v>
      </c>
      <c r="C94" s="165">
        <v>19153</v>
      </c>
      <c r="D94" s="165">
        <v>8684</v>
      </c>
      <c r="E94" s="165">
        <v>11001</v>
      </c>
      <c r="F94" s="165">
        <v>16289</v>
      </c>
      <c r="G94" s="165">
        <v>12024</v>
      </c>
      <c r="H94" s="165">
        <v>11877</v>
      </c>
      <c r="I94" s="166">
        <f>IFERROR(H94/G94-1,"-")</f>
        <v>-1.2225548902195627E-2</v>
      </c>
      <c r="J94" s="165">
        <f t="shared" si="28"/>
        <v>-147</v>
      </c>
      <c r="K94" s="166">
        <f>H94/H$8</f>
        <v>2.1672250322976199E-3</v>
      </c>
    </row>
    <row r="95" spans="2:14" x14ac:dyDescent="0.25">
      <c r="B95" s="164" t="s">
        <v>102</v>
      </c>
      <c r="C95" s="165">
        <v>17966</v>
      </c>
      <c r="D95" s="165">
        <v>7339</v>
      </c>
      <c r="E95" s="165">
        <v>10731</v>
      </c>
      <c r="F95" s="165">
        <v>17520</v>
      </c>
      <c r="G95" s="165">
        <v>25698</v>
      </c>
      <c r="H95" s="165">
        <v>23944</v>
      </c>
      <c r="I95" s="166">
        <f>IFERROR(H95/G95-1,"-")</f>
        <v>-6.8254338859055186E-2</v>
      </c>
      <c r="J95" s="165">
        <f t="shared" si="28"/>
        <v>-1754</v>
      </c>
      <c r="K95" s="166">
        <f>H95/H$8</f>
        <v>4.3691198259942924E-3</v>
      </c>
    </row>
    <row r="96" spans="2:14" x14ac:dyDescent="0.25">
      <c r="B96" s="160" t="s">
        <v>109</v>
      </c>
      <c r="C96" s="161">
        <v>18768</v>
      </c>
      <c r="D96" s="161">
        <v>8198</v>
      </c>
      <c r="E96" s="161">
        <v>11712</v>
      </c>
      <c r="F96" s="161">
        <v>17676</v>
      </c>
      <c r="G96" s="161">
        <v>20435</v>
      </c>
      <c r="H96" s="161">
        <v>21567</v>
      </c>
      <c r="I96" s="162">
        <f>IFERROR(H96/G96-1,"-")</f>
        <v>5.539515537068751E-2</v>
      </c>
      <c r="J96" s="161">
        <f t="shared" si="28"/>
        <v>1132</v>
      </c>
      <c r="K96" s="162">
        <f>H96/H$8</f>
        <v>3.9353828636493025E-3</v>
      </c>
    </row>
    <row r="97" spans="2:14" x14ac:dyDescent="0.25">
      <c r="B97" s="164" t="s">
        <v>112</v>
      </c>
      <c r="C97" s="165">
        <v>2421</v>
      </c>
      <c r="D97" s="165">
        <v>1288</v>
      </c>
      <c r="E97" s="165">
        <v>921</v>
      </c>
      <c r="F97" s="165">
        <v>2403</v>
      </c>
      <c r="G97" s="165">
        <v>2795</v>
      </c>
      <c r="H97" s="165">
        <v>3030</v>
      </c>
      <c r="I97" s="166">
        <f t="shared" ref="I97:I104" si="29">IFERROR(H97/G97-1,"-")</f>
        <v>8.4078711985688726E-2</v>
      </c>
      <c r="J97" s="165">
        <f t="shared" si="28"/>
        <v>235</v>
      </c>
      <c r="K97" s="166">
        <f t="shared" ref="K97:K104" si="30">H97/H$8</f>
        <v>5.5289145810068099E-4</v>
      </c>
    </row>
    <row r="98" spans="2:14" x14ac:dyDescent="0.25">
      <c r="B98" s="164" t="s">
        <v>115</v>
      </c>
      <c r="C98" s="165">
        <v>3905</v>
      </c>
      <c r="D98" s="165">
        <v>1481</v>
      </c>
      <c r="E98" s="165">
        <v>2395</v>
      </c>
      <c r="F98" s="165">
        <v>3482</v>
      </c>
      <c r="G98" s="165">
        <v>3814</v>
      </c>
      <c r="H98" s="165">
        <v>4234</v>
      </c>
      <c r="I98" s="166">
        <f t="shared" si="29"/>
        <v>0.11012060828526482</v>
      </c>
      <c r="J98" s="165">
        <f t="shared" si="28"/>
        <v>420</v>
      </c>
      <c r="K98" s="166">
        <f t="shared" si="30"/>
        <v>7.7258826191362485E-4</v>
      </c>
    </row>
    <row r="99" spans="2:14" x14ac:dyDescent="0.25">
      <c r="B99" s="164" t="s">
        <v>118</v>
      </c>
      <c r="C99" s="165">
        <v>3854</v>
      </c>
      <c r="D99" s="165">
        <v>1974</v>
      </c>
      <c r="E99" s="165">
        <v>3541</v>
      </c>
      <c r="F99" s="165">
        <v>3412</v>
      </c>
      <c r="G99" s="165">
        <v>3885</v>
      </c>
      <c r="H99" s="165">
        <v>3685</v>
      </c>
      <c r="I99" s="166">
        <f t="shared" si="29"/>
        <v>-5.1480051480051525E-2</v>
      </c>
      <c r="J99" s="165">
        <f t="shared" si="28"/>
        <v>-200</v>
      </c>
      <c r="K99" s="166">
        <f t="shared" si="30"/>
        <v>6.7241089871320446E-4</v>
      </c>
    </row>
    <row r="100" spans="2:14" x14ac:dyDescent="0.25">
      <c r="B100" s="164" t="s">
        <v>125</v>
      </c>
      <c r="C100" s="165">
        <v>699</v>
      </c>
      <c r="D100" s="165">
        <v>323</v>
      </c>
      <c r="E100" s="165">
        <v>432</v>
      </c>
      <c r="F100" s="165">
        <v>1172</v>
      </c>
      <c r="G100" s="165">
        <v>938</v>
      </c>
      <c r="H100" s="165">
        <v>933</v>
      </c>
      <c r="I100" s="166">
        <f t="shared" si="29"/>
        <v>-5.3304904051172386E-3</v>
      </c>
      <c r="J100" s="165">
        <f t="shared" si="28"/>
        <v>-5</v>
      </c>
      <c r="K100" s="166">
        <f t="shared" si="30"/>
        <v>1.7024677571218989E-4</v>
      </c>
    </row>
    <row r="101" spans="2:14" x14ac:dyDescent="0.25">
      <c r="B101" s="164" t="s">
        <v>121</v>
      </c>
      <c r="C101" s="165">
        <v>519</v>
      </c>
      <c r="D101" s="165">
        <v>351</v>
      </c>
      <c r="E101" s="165">
        <v>507</v>
      </c>
      <c r="F101" s="165">
        <v>682</v>
      </c>
      <c r="G101" s="165">
        <v>650</v>
      </c>
      <c r="H101" s="165">
        <v>903</v>
      </c>
      <c r="I101" s="166">
        <f t="shared" si="29"/>
        <v>0.38923076923076927</v>
      </c>
      <c r="J101" s="165">
        <f t="shared" si="28"/>
        <v>253</v>
      </c>
      <c r="K101" s="166">
        <f t="shared" si="30"/>
        <v>1.6477260285970789E-4</v>
      </c>
    </row>
    <row r="102" spans="2:14" x14ac:dyDescent="0.25">
      <c r="B102" s="164" t="s">
        <v>130</v>
      </c>
      <c r="C102" s="165">
        <v>155</v>
      </c>
      <c r="D102" s="165">
        <v>124</v>
      </c>
      <c r="E102" s="165">
        <v>105</v>
      </c>
      <c r="F102" s="165">
        <v>270</v>
      </c>
      <c r="G102" s="165">
        <v>153</v>
      </c>
      <c r="H102" s="165">
        <v>230</v>
      </c>
      <c r="I102" s="166">
        <f t="shared" si="29"/>
        <v>0.50326797385620914</v>
      </c>
      <c r="J102" s="165">
        <f t="shared" si="28"/>
        <v>77</v>
      </c>
      <c r="K102" s="166">
        <f t="shared" si="30"/>
        <v>4.1968658535695256E-5</v>
      </c>
    </row>
    <row r="103" spans="2:14" x14ac:dyDescent="0.25">
      <c r="B103" s="164" t="s">
        <v>133</v>
      </c>
      <c r="C103" s="165">
        <v>271</v>
      </c>
      <c r="D103" s="165">
        <v>89</v>
      </c>
      <c r="E103" s="165">
        <v>96</v>
      </c>
      <c r="F103" s="165">
        <v>168</v>
      </c>
      <c r="G103" s="165">
        <v>270</v>
      </c>
      <c r="H103" s="165">
        <v>384</v>
      </c>
      <c r="I103" s="166">
        <f t="shared" si="29"/>
        <v>0.42222222222222228</v>
      </c>
      <c r="J103" s="165">
        <f t="shared" si="28"/>
        <v>114</v>
      </c>
      <c r="K103" s="166">
        <f t="shared" si="30"/>
        <v>7.0069412511769477E-5</v>
      </c>
    </row>
    <row r="104" spans="2:14" x14ac:dyDescent="0.25">
      <c r="B104" s="169" t="s">
        <v>147</v>
      </c>
      <c r="C104" s="170">
        <f t="shared" ref="C104:H104" si="31">C96-SUM(C97:C103)</f>
        <v>6944</v>
      </c>
      <c r="D104" s="170">
        <f t="shared" si="31"/>
        <v>2568</v>
      </c>
      <c r="E104" s="170">
        <f t="shared" si="31"/>
        <v>3715</v>
      </c>
      <c r="F104" s="170">
        <f t="shared" si="31"/>
        <v>6087</v>
      </c>
      <c r="G104" s="170">
        <f t="shared" si="31"/>
        <v>7930</v>
      </c>
      <c r="H104" s="170">
        <f t="shared" si="31"/>
        <v>8168</v>
      </c>
      <c r="I104" s="171">
        <f t="shared" si="29"/>
        <v>3.0012610340479196E-2</v>
      </c>
      <c r="J104" s="170">
        <f>H104-G104</f>
        <v>238</v>
      </c>
      <c r="K104" s="171">
        <f t="shared" si="30"/>
        <v>1.4904347953024297E-3</v>
      </c>
    </row>
    <row r="105" spans="2:14" x14ac:dyDescent="0.25">
      <c r="B105" s="156" t="s">
        <v>52</v>
      </c>
      <c r="C105" s="154"/>
      <c r="D105" s="154"/>
      <c r="E105" s="154"/>
      <c r="F105" s="154"/>
      <c r="G105" s="154"/>
      <c r="H105" s="155"/>
      <c r="I105" s="155"/>
      <c r="J105" s="155"/>
      <c r="K105" s="154"/>
      <c r="L105" s="172"/>
      <c r="M105" s="172"/>
      <c r="N105" s="172"/>
    </row>
    <row r="106" spans="2:14" x14ac:dyDescent="0.25">
      <c r="B106" s="157" t="s">
        <v>70</v>
      </c>
      <c r="C106" s="158">
        <v>142901</v>
      </c>
      <c r="D106" s="158">
        <v>77467</v>
      </c>
      <c r="E106" s="158">
        <v>107459</v>
      </c>
      <c r="F106" s="158">
        <v>198873</v>
      </c>
      <c r="G106" s="158">
        <v>252588</v>
      </c>
      <c r="H106" s="158">
        <v>239146</v>
      </c>
      <c r="I106" s="159">
        <f>IFERROR(H106/G106-1,"-")</f>
        <v>-5.3217096615832848E-2</v>
      </c>
      <c r="J106" s="158">
        <f>H106-G106</f>
        <v>-13442</v>
      </c>
      <c r="K106" s="159">
        <f>H106/H$8</f>
        <v>4.3637551365988597E-2</v>
      </c>
      <c r="L106" s="107"/>
      <c r="M106" s="107"/>
      <c r="N106" s="107"/>
    </row>
    <row r="107" spans="2:14" x14ac:dyDescent="0.25">
      <c r="B107" s="160" t="s">
        <v>99</v>
      </c>
      <c r="C107" s="161">
        <v>31009</v>
      </c>
      <c r="D107" s="161">
        <v>30584</v>
      </c>
      <c r="E107" s="161">
        <v>44398</v>
      </c>
      <c r="F107" s="161">
        <v>48630</v>
      </c>
      <c r="G107" s="161">
        <v>55684</v>
      </c>
      <c r="H107" s="161">
        <v>49807</v>
      </c>
      <c r="I107" s="162">
        <f>IFERROR(H107/G107-1,"-")</f>
        <v>-0.10554198692622652</v>
      </c>
      <c r="J107" s="161">
        <f t="shared" ref="J107:J117" si="32">H107-G107</f>
        <v>-5877</v>
      </c>
      <c r="K107" s="162">
        <f>H107/H$8</f>
        <v>9.0884042421190154E-3</v>
      </c>
    </row>
    <row r="108" spans="2:14" x14ac:dyDescent="0.25">
      <c r="B108" s="164" t="s">
        <v>105</v>
      </c>
      <c r="C108" s="165">
        <v>11886</v>
      </c>
      <c r="D108" s="165">
        <v>4963</v>
      </c>
      <c r="E108" s="165">
        <v>24120</v>
      </c>
      <c r="F108" s="165">
        <v>16359</v>
      </c>
      <c r="G108" s="165">
        <v>19520</v>
      </c>
      <c r="H108" s="165">
        <v>16099</v>
      </c>
      <c r="I108" s="166">
        <f>IFERROR(H108/G108-1,"-")</f>
        <v>-0.17525614754098362</v>
      </c>
      <c r="J108" s="165">
        <f t="shared" si="32"/>
        <v>-3421</v>
      </c>
      <c r="K108" s="166">
        <f>H108/H$8</f>
        <v>2.937623625070252E-3</v>
      </c>
    </row>
    <row r="109" spans="2:14" x14ac:dyDescent="0.25">
      <c r="B109" s="164" t="s">
        <v>102</v>
      </c>
      <c r="C109" s="165">
        <v>19123</v>
      </c>
      <c r="D109" s="165">
        <v>25621</v>
      </c>
      <c r="E109" s="165">
        <v>20278</v>
      </c>
      <c r="F109" s="165">
        <v>32271</v>
      </c>
      <c r="G109" s="165">
        <v>36164</v>
      </c>
      <c r="H109" s="165">
        <v>33708</v>
      </c>
      <c r="I109" s="166">
        <f>IFERROR(H109/G109-1,"-")</f>
        <v>-6.791284149983412E-2</v>
      </c>
      <c r="J109" s="165">
        <f t="shared" si="32"/>
        <v>-2456</v>
      </c>
      <c r="K109" s="166">
        <f>H109/H$8</f>
        <v>6.1507806170487643E-3</v>
      </c>
    </row>
    <row r="110" spans="2:14" x14ac:dyDescent="0.25">
      <c r="B110" s="160" t="s">
        <v>109</v>
      </c>
      <c r="C110" s="161">
        <v>111892</v>
      </c>
      <c r="D110" s="161">
        <v>46883</v>
      </c>
      <c r="E110" s="161">
        <v>63061</v>
      </c>
      <c r="F110" s="161">
        <v>150243</v>
      </c>
      <c r="G110" s="161">
        <v>196904</v>
      </c>
      <c r="H110" s="161">
        <v>189339</v>
      </c>
      <c r="I110" s="162">
        <f>IFERROR(H110/G110-1,"-")</f>
        <v>-3.841973753707395E-2</v>
      </c>
      <c r="J110" s="161">
        <f t="shared" si="32"/>
        <v>-7565</v>
      </c>
      <c r="K110" s="162">
        <f>H110/H$8</f>
        <v>3.4549147123869584E-2</v>
      </c>
    </row>
    <row r="111" spans="2:14" x14ac:dyDescent="0.25">
      <c r="B111" s="164" t="s">
        <v>112</v>
      </c>
      <c r="C111" s="165">
        <v>61414</v>
      </c>
      <c r="D111" s="165">
        <v>26382</v>
      </c>
      <c r="E111" s="165">
        <v>26812</v>
      </c>
      <c r="F111" s="165">
        <v>90804</v>
      </c>
      <c r="G111" s="165">
        <v>128108</v>
      </c>
      <c r="H111" s="165">
        <v>116734</v>
      </c>
      <c r="I111" s="166">
        <f t="shared" ref="I111:I118" si="33">IFERROR(H111/G111-1,"-")</f>
        <v>-8.8784463109251588E-2</v>
      </c>
      <c r="J111" s="165">
        <f t="shared" si="32"/>
        <v>-11374</v>
      </c>
      <c r="K111" s="166">
        <f t="shared" ref="K111:K118" si="34">H111/H$8</f>
        <v>2.1300736458721086E-2</v>
      </c>
    </row>
    <row r="112" spans="2:14" x14ac:dyDescent="0.25">
      <c r="B112" s="164" t="s">
        <v>115</v>
      </c>
      <c r="C112" s="165">
        <v>9783</v>
      </c>
      <c r="D112" s="165">
        <v>3197</v>
      </c>
      <c r="E112" s="165">
        <v>7197</v>
      </c>
      <c r="F112" s="165">
        <v>6944</v>
      </c>
      <c r="G112" s="165">
        <v>8880</v>
      </c>
      <c r="H112" s="165">
        <v>8516</v>
      </c>
      <c r="I112" s="166">
        <f t="shared" si="33"/>
        <v>-4.0990990990991016E-2</v>
      </c>
      <c r="J112" s="165">
        <f t="shared" si="32"/>
        <v>-364</v>
      </c>
      <c r="K112" s="166">
        <f t="shared" si="34"/>
        <v>1.553935200391221E-3</v>
      </c>
    </row>
    <row r="113" spans="2:14" x14ac:dyDescent="0.25">
      <c r="B113" s="164" t="s">
        <v>118</v>
      </c>
      <c r="C113" s="165">
        <v>11371</v>
      </c>
      <c r="D113" s="165">
        <v>2498</v>
      </c>
      <c r="E113" s="165">
        <v>6746</v>
      </c>
      <c r="F113" s="165">
        <v>9830</v>
      </c>
      <c r="G113" s="165">
        <v>13414</v>
      </c>
      <c r="H113" s="165">
        <v>14245</v>
      </c>
      <c r="I113" s="166">
        <f t="shared" si="33"/>
        <v>6.1950201282242379E-2</v>
      </c>
      <c r="J113" s="165">
        <f t="shared" si="32"/>
        <v>831</v>
      </c>
      <c r="K113" s="166">
        <f t="shared" si="34"/>
        <v>2.5993197427868651E-3</v>
      </c>
    </row>
    <row r="114" spans="2:14" x14ac:dyDescent="0.25">
      <c r="B114" s="164" t="s">
        <v>125</v>
      </c>
      <c r="C114" s="165">
        <v>2496</v>
      </c>
      <c r="D114" s="165">
        <v>1300</v>
      </c>
      <c r="E114" s="165">
        <v>3663</v>
      </c>
      <c r="F114" s="165">
        <v>6290</v>
      </c>
      <c r="G114" s="165">
        <v>6514</v>
      </c>
      <c r="H114" s="165">
        <v>6482</v>
      </c>
      <c r="I114" s="166">
        <f t="shared" si="33"/>
        <v>-4.912496162112423E-3</v>
      </c>
      <c r="J114" s="165">
        <f t="shared" si="32"/>
        <v>-32</v>
      </c>
      <c r="K114" s="166">
        <f t="shared" si="34"/>
        <v>1.1827862809929419E-3</v>
      </c>
    </row>
    <row r="115" spans="2:14" x14ac:dyDescent="0.25">
      <c r="B115" s="164" t="s">
        <v>121</v>
      </c>
      <c r="C115" s="165">
        <v>3749</v>
      </c>
      <c r="D115" s="165">
        <v>2838</v>
      </c>
      <c r="E115" s="165">
        <v>4368</v>
      </c>
      <c r="F115" s="165">
        <v>4750</v>
      </c>
      <c r="G115" s="165">
        <v>5340</v>
      </c>
      <c r="H115" s="165">
        <v>5146</v>
      </c>
      <c r="I115" s="166">
        <f t="shared" si="33"/>
        <v>-3.6329588014981318E-2</v>
      </c>
      <c r="J115" s="165">
        <f t="shared" si="32"/>
        <v>-194</v>
      </c>
      <c r="K115" s="166">
        <f t="shared" si="34"/>
        <v>9.3900311662907738E-4</v>
      </c>
    </row>
    <row r="116" spans="2:14" x14ac:dyDescent="0.25">
      <c r="B116" s="164" t="s">
        <v>130</v>
      </c>
      <c r="C116" s="165">
        <v>826</v>
      </c>
      <c r="D116" s="165">
        <v>406</v>
      </c>
      <c r="E116" s="165">
        <v>369</v>
      </c>
      <c r="F116" s="165">
        <v>1261</v>
      </c>
      <c r="G116" s="165">
        <v>1457</v>
      </c>
      <c r="H116" s="165">
        <v>1177</v>
      </c>
      <c r="I116" s="166">
        <f t="shared" si="33"/>
        <v>-0.19217570350034319</v>
      </c>
      <c r="J116" s="165">
        <f t="shared" si="32"/>
        <v>-280</v>
      </c>
      <c r="K116" s="166">
        <f t="shared" si="34"/>
        <v>2.1477004824571009E-4</v>
      </c>
    </row>
    <row r="117" spans="2:14" x14ac:dyDescent="0.25">
      <c r="B117" s="164" t="s">
        <v>133</v>
      </c>
      <c r="C117" s="165">
        <v>1664</v>
      </c>
      <c r="D117" s="165">
        <v>932</v>
      </c>
      <c r="E117" s="165">
        <v>521</v>
      </c>
      <c r="F117" s="165">
        <v>980</v>
      </c>
      <c r="G117" s="165">
        <v>944</v>
      </c>
      <c r="H117" s="165">
        <v>1508</v>
      </c>
      <c r="I117" s="166">
        <f t="shared" si="33"/>
        <v>0.59745762711864403</v>
      </c>
      <c r="J117" s="165">
        <f t="shared" si="32"/>
        <v>564</v>
      </c>
      <c r="K117" s="166">
        <f t="shared" si="34"/>
        <v>2.7516842205142805E-4</v>
      </c>
    </row>
    <row r="118" spans="2:14" x14ac:dyDescent="0.25">
      <c r="B118" s="169" t="s">
        <v>147</v>
      </c>
      <c r="C118" s="170">
        <f t="shared" ref="C118:H118" si="35">C110-SUM(C111:C117)</f>
        <v>20589</v>
      </c>
      <c r="D118" s="170">
        <f t="shared" si="35"/>
        <v>9330</v>
      </c>
      <c r="E118" s="170">
        <f t="shared" si="35"/>
        <v>13385</v>
      </c>
      <c r="F118" s="170">
        <f t="shared" si="35"/>
        <v>29384</v>
      </c>
      <c r="G118" s="170">
        <f t="shared" si="35"/>
        <v>32247</v>
      </c>
      <c r="H118" s="170">
        <f t="shared" si="35"/>
        <v>35531</v>
      </c>
      <c r="I118" s="171">
        <f t="shared" si="33"/>
        <v>0.10183893075324835</v>
      </c>
      <c r="J118" s="170">
        <f>H118-G118</f>
        <v>3284</v>
      </c>
      <c r="K118" s="171">
        <f t="shared" si="34"/>
        <v>6.4834278540512533E-3</v>
      </c>
    </row>
    <row r="119" spans="2:14" x14ac:dyDescent="0.25">
      <c r="B119" s="156" t="s">
        <v>53</v>
      </c>
      <c r="C119" s="154"/>
      <c r="D119" s="154"/>
      <c r="E119" s="154"/>
      <c r="F119" s="154"/>
      <c r="G119" s="154"/>
      <c r="H119" s="155"/>
      <c r="I119" s="155"/>
      <c r="J119" s="155"/>
      <c r="K119" s="154"/>
      <c r="L119" s="172"/>
      <c r="M119" s="172"/>
      <c r="N119" s="172"/>
    </row>
    <row r="120" spans="2:14" x14ac:dyDescent="0.25">
      <c r="B120" s="157" t="s">
        <v>70</v>
      </c>
      <c r="C120" s="158">
        <v>220415</v>
      </c>
      <c r="D120" s="158">
        <v>103516</v>
      </c>
      <c r="E120" s="158">
        <v>164258</v>
      </c>
      <c r="F120" s="158">
        <v>229131</v>
      </c>
      <c r="G120" s="158">
        <v>239109</v>
      </c>
      <c r="H120" s="158">
        <v>250871</v>
      </c>
      <c r="I120" s="159">
        <f>IFERROR(H120/G120-1,"-")</f>
        <v>4.9190954752853289E-2</v>
      </c>
      <c r="J120" s="158">
        <f>H120-G120</f>
        <v>11762</v>
      </c>
      <c r="K120" s="159">
        <f>H120/H$8</f>
        <v>4.5777040589166977E-2</v>
      </c>
      <c r="L120" s="107"/>
      <c r="M120" s="107"/>
      <c r="N120" s="107"/>
    </row>
    <row r="121" spans="2:14" x14ac:dyDescent="0.25">
      <c r="B121" s="160" t="s">
        <v>99</v>
      </c>
      <c r="C121" s="161">
        <v>120142</v>
      </c>
      <c r="D121" s="161">
        <v>61571</v>
      </c>
      <c r="E121" s="161">
        <v>104557</v>
      </c>
      <c r="F121" s="161">
        <v>134886</v>
      </c>
      <c r="G121" s="161">
        <v>146430</v>
      </c>
      <c r="H121" s="161">
        <v>156566</v>
      </c>
      <c r="I121" s="162">
        <f>IFERROR(H121/G121-1,"-")</f>
        <v>6.9220788089872309E-2</v>
      </c>
      <c r="J121" s="161">
        <f t="shared" ref="J121:J131" si="36">H121-G121</f>
        <v>10136</v>
      </c>
      <c r="K121" s="162">
        <f>H121/H$8</f>
        <v>2.8568978227389841E-2</v>
      </c>
    </row>
    <row r="122" spans="2:14" x14ac:dyDescent="0.25">
      <c r="B122" s="164" t="s">
        <v>105</v>
      </c>
      <c r="C122" s="165">
        <v>61076</v>
      </c>
      <c r="D122" s="165">
        <v>27791</v>
      </c>
      <c r="E122" s="165">
        <v>53247</v>
      </c>
      <c r="F122" s="165">
        <v>69865</v>
      </c>
      <c r="G122" s="165">
        <v>66121</v>
      </c>
      <c r="H122" s="165">
        <v>75793</v>
      </c>
      <c r="I122" s="166">
        <f>IFERROR(H122/G122-1,"-")</f>
        <v>0.14627727953297742</v>
      </c>
      <c r="J122" s="165">
        <f t="shared" si="36"/>
        <v>9672</v>
      </c>
      <c r="K122" s="166">
        <f>H122/H$8</f>
        <v>1.3830132766938915E-2</v>
      </c>
    </row>
    <row r="123" spans="2:14" x14ac:dyDescent="0.25">
      <c r="B123" s="164" t="s">
        <v>102</v>
      </c>
      <c r="C123" s="165">
        <v>59066</v>
      </c>
      <c r="D123" s="165">
        <v>33780</v>
      </c>
      <c r="E123" s="165">
        <v>51310</v>
      </c>
      <c r="F123" s="165">
        <v>65021</v>
      </c>
      <c r="G123" s="165">
        <v>80309</v>
      </c>
      <c r="H123" s="165">
        <v>80773</v>
      </c>
      <c r="I123" s="166">
        <f>IFERROR(H123/G123-1,"-")</f>
        <v>5.7776836967213807E-3</v>
      </c>
      <c r="J123" s="165">
        <f t="shared" si="36"/>
        <v>464</v>
      </c>
      <c r="K123" s="166">
        <f>H123/H$8</f>
        <v>1.4738845460450926E-2</v>
      </c>
    </row>
    <row r="124" spans="2:14" x14ac:dyDescent="0.25">
      <c r="B124" s="160" t="s">
        <v>109</v>
      </c>
      <c r="C124" s="161">
        <v>100273</v>
      </c>
      <c r="D124" s="161">
        <v>41945</v>
      </c>
      <c r="E124" s="161">
        <v>59701</v>
      </c>
      <c r="F124" s="161">
        <v>94245</v>
      </c>
      <c r="G124" s="161">
        <v>92679</v>
      </c>
      <c r="H124" s="161">
        <v>94305</v>
      </c>
      <c r="I124" s="162">
        <f>IFERROR(H124/G124-1,"-")</f>
        <v>1.7544427540219454E-2</v>
      </c>
      <c r="J124" s="161">
        <f t="shared" si="36"/>
        <v>1626</v>
      </c>
      <c r="K124" s="162">
        <f>H124/H$8</f>
        <v>1.7208062361777136E-2</v>
      </c>
    </row>
    <row r="125" spans="2:14" x14ac:dyDescent="0.25">
      <c r="B125" s="164" t="s">
        <v>112</v>
      </c>
      <c r="C125" s="165">
        <v>10460</v>
      </c>
      <c r="D125" s="165">
        <v>3941</v>
      </c>
      <c r="E125" s="165">
        <v>3336</v>
      </c>
      <c r="F125" s="165">
        <v>9917</v>
      </c>
      <c r="G125" s="165">
        <v>11646</v>
      </c>
      <c r="H125" s="165">
        <v>10656</v>
      </c>
      <c r="I125" s="166">
        <f t="shared" ref="I125:I132" si="37">IFERROR(H125/G125-1,"-")</f>
        <v>-8.5007727975270453E-2</v>
      </c>
      <c r="J125" s="165">
        <f t="shared" si="36"/>
        <v>-990</v>
      </c>
      <c r="K125" s="166">
        <f t="shared" ref="K125:K132" si="38">H125/H$8</f>
        <v>1.9444261972016029E-3</v>
      </c>
    </row>
    <row r="126" spans="2:14" x14ac:dyDescent="0.25">
      <c r="B126" s="164" t="s">
        <v>115</v>
      </c>
      <c r="C126" s="165">
        <v>9550</v>
      </c>
      <c r="D126" s="165">
        <v>4053</v>
      </c>
      <c r="E126" s="165">
        <v>7314</v>
      </c>
      <c r="F126" s="165">
        <v>11261</v>
      </c>
      <c r="G126" s="165">
        <v>13316</v>
      </c>
      <c r="H126" s="165">
        <v>13127</v>
      </c>
      <c r="I126" s="166">
        <f t="shared" si="37"/>
        <v>-1.4193451486932962E-2</v>
      </c>
      <c r="J126" s="165">
        <f t="shared" si="36"/>
        <v>-189</v>
      </c>
      <c r="K126" s="166">
        <f t="shared" si="38"/>
        <v>2.3953155678177029E-3</v>
      </c>
    </row>
    <row r="127" spans="2:14" x14ac:dyDescent="0.25">
      <c r="B127" s="164" t="s">
        <v>118</v>
      </c>
      <c r="C127" s="165">
        <v>6709</v>
      </c>
      <c r="D127" s="165">
        <v>2906</v>
      </c>
      <c r="E127" s="165">
        <v>7134</v>
      </c>
      <c r="F127" s="165">
        <v>8524</v>
      </c>
      <c r="G127" s="165">
        <v>8756</v>
      </c>
      <c r="H127" s="165">
        <v>8567</v>
      </c>
      <c r="I127" s="166">
        <f t="shared" si="37"/>
        <v>-2.1585198720877163E-2</v>
      </c>
      <c r="J127" s="165">
        <f t="shared" si="36"/>
        <v>-189</v>
      </c>
      <c r="K127" s="166">
        <f t="shared" si="38"/>
        <v>1.5632412942404403E-3</v>
      </c>
    </row>
    <row r="128" spans="2:14" x14ac:dyDescent="0.25">
      <c r="B128" s="164" t="s">
        <v>125</v>
      </c>
      <c r="C128" s="165">
        <v>1866</v>
      </c>
      <c r="D128" s="165">
        <v>784</v>
      </c>
      <c r="E128" s="165">
        <v>1333</v>
      </c>
      <c r="F128" s="165">
        <v>2573</v>
      </c>
      <c r="G128" s="165">
        <v>2637</v>
      </c>
      <c r="H128" s="165">
        <v>2356</v>
      </c>
      <c r="I128" s="166">
        <f t="shared" si="37"/>
        <v>-0.10656048540007579</v>
      </c>
      <c r="J128" s="165">
        <f t="shared" si="36"/>
        <v>-281</v>
      </c>
      <c r="K128" s="166">
        <f t="shared" si="38"/>
        <v>4.2990504134825225E-4</v>
      </c>
    </row>
    <row r="129" spans="2:14" x14ac:dyDescent="0.25">
      <c r="B129" s="164" t="s">
        <v>121</v>
      </c>
      <c r="C129" s="165">
        <v>1484</v>
      </c>
      <c r="D129" s="165">
        <v>812</v>
      </c>
      <c r="E129" s="165">
        <v>1357</v>
      </c>
      <c r="F129" s="165">
        <v>1836</v>
      </c>
      <c r="G129" s="165">
        <v>1934</v>
      </c>
      <c r="H129" s="165">
        <v>2091</v>
      </c>
      <c r="I129" s="166">
        <f t="shared" si="37"/>
        <v>8.1178903826266913E-2</v>
      </c>
      <c r="J129" s="165">
        <f t="shared" si="36"/>
        <v>157</v>
      </c>
      <c r="K129" s="166">
        <f t="shared" si="38"/>
        <v>3.815498478179947E-4</v>
      </c>
    </row>
    <row r="130" spans="2:14" x14ac:dyDescent="0.25">
      <c r="B130" s="164" t="s">
        <v>130</v>
      </c>
      <c r="C130" s="165">
        <v>1623</v>
      </c>
      <c r="D130" s="165">
        <v>678</v>
      </c>
      <c r="E130" s="165">
        <v>555</v>
      </c>
      <c r="F130" s="165">
        <v>1075</v>
      </c>
      <c r="G130" s="165">
        <v>1341</v>
      </c>
      <c r="H130" s="165">
        <v>1334</v>
      </c>
      <c r="I130" s="166">
        <f t="shared" si="37"/>
        <v>-5.2199850857569396E-3</v>
      </c>
      <c r="J130" s="165">
        <f t="shared" si="36"/>
        <v>-7</v>
      </c>
      <c r="K130" s="166">
        <f t="shared" si="38"/>
        <v>2.434182195070325E-4</v>
      </c>
    </row>
    <row r="131" spans="2:14" x14ac:dyDescent="0.25">
      <c r="B131" s="164" t="s">
        <v>133</v>
      </c>
      <c r="C131" s="165">
        <v>2681</v>
      </c>
      <c r="D131" s="165">
        <v>1097</v>
      </c>
      <c r="E131" s="165">
        <v>919</v>
      </c>
      <c r="F131" s="165">
        <v>1885</v>
      </c>
      <c r="G131" s="165">
        <v>2455</v>
      </c>
      <c r="H131" s="165">
        <v>2493</v>
      </c>
      <c r="I131" s="166">
        <f t="shared" si="37"/>
        <v>1.5478615071283119E-2</v>
      </c>
      <c r="J131" s="165">
        <f t="shared" si="36"/>
        <v>38</v>
      </c>
      <c r="K131" s="166">
        <f t="shared" si="38"/>
        <v>4.5490376404125338E-4</v>
      </c>
    </row>
    <row r="132" spans="2:14" x14ac:dyDescent="0.25">
      <c r="B132" s="169" t="s">
        <v>147</v>
      </c>
      <c r="C132" s="170">
        <f t="shared" ref="C132:H132" si="39">C124-SUM(C125:C131)</f>
        <v>65900</v>
      </c>
      <c r="D132" s="170">
        <f t="shared" si="39"/>
        <v>27674</v>
      </c>
      <c r="E132" s="170">
        <f t="shared" si="39"/>
        <v>37753</v>
      </c>
      <c r="F132" s="170">
        <f t="shared" si="39"/>
        <v>57174</v>
      </c>
      <c r="G132" s="170">
        <f t="shared" si="39"/>
        <v>50594</v>
      </c>
      <c r="H132" s="170">
        <f t="shared" si="39"/>
        <v>53681</v>
      </c>
      <c r="I132" s="171">
        <f t="shared" si="37"/>
        <v>6.1015140135193935E-2</v>
      </c>
      <c r="J132" s="170">
        <f>H132-G132</f>
        <v>3087</v>
      </c>
      <c r="K132" s="171">
        <f t="shared" si="38"/>
        <v>9.795302429802857E-3</v>
      </c>
    </row>
    <row r="133" spans="2:14" x14ac:dyDescent="0.25">
      <c r="B133" s="156" t="s">
        <v>54</v>
      </c>
      <c r="C133" s="154"/>
      <c r="D133" s="154"/>
      <c r="E133" s="154"/>
      <c r="F133" s="154"/>
      <c r="G133" s="154"/>
      <c r="H133" s="155"/>
      <c r="I133" s="155"/>
      <c r="J133" s="155"/>
      <c r="K133" s="154"/>
      <c r="L133" s="172"/>
      <c r="M133" s="172"/>
      <c r="N133" s="172"/>
    </row>
    <row r="134" spans="2:14" x14ac:dyDescent="0.25">
      <c r="B134" s="157" t="s">
        <v>70</v>
      </c>
      <c r="C134" s="158">
        <v>250224</v>
      </c>
      <c r="D134" s="158">
        <v>96681</v>
      </c>
      <c r="E134" s="158">
        <v>140346</v>
      </c>
      <c r="F134" s="158">
        <v>257117</v>
      </c>
      <c r="G134" s="158">
        <v>278594</v>
      </c>
      <c r="H134" s="158">
        <v>287810</v>
      </c>
      <c r="I134" s="159">
        <f>IFERROR(H134/G134-1,"-")</f>
        <v>3.3080396562739978E-2</v>
      </c>
      <c r="J134" s="158">
        <f>H134-G134</f>
        <v>9216</v>
      </c>
      <c r="K134" s="159">
        <f>H134/H$8</f>
        <v>5.2517389622428051E-2</v>
      </c>
      <c r="L134" s="107"/>
      <c r="M134" s="107"/>
      <c r="N134" s="107"/>
    </row>
    <row r="135" spans="2:14" x14ac:dyDescent="0.25">
      <c r="B135" s="160" t="s">
        <v>99</v>
      </c>
      <c r="C135" s="161">
        <v>45577</v>
      </c>
      <c r="D135" s="161">
        <v>26839</v>
      </c>
      <c r="E135" s="161">
        <v>45216</v>
      </c>
      <c r="F135" s="161">
        <v>29061</v>
      </c>
      <c r="G135" s="161">
        <v>32018</v>
      </c>
      <c r="H135" s="161">
        <v>29188</v>
      </c>
      <c r="I135" s="162">
        <f>IFERROR(H135/G135-1,"-")</f>
        <v>-8.838778187269658E-2</v>
      </c>
      <c r="J135" s="161">
        <f t="shared" ref="J135:J145" si="40">H135-G135</f>
        <v>-2830</v>
      </c>
      <c r="K135" s="162">
        <f>H135/H$8</f>
        <v>5.3260052406081445E-3</v>
      </c>
    </row>
    <row r="136" spans="2:14" x14ac:dyDescent="0.25">
      <c r="B136" s="164" t="s">
        <v>105</v>
      </c>
      <c r="C136" s="165">
        <v>24890</v>
      </c>
      <c r="D136" s="165">
        <v>20058</v>
      </c>
      <c r="E136" s="165">
        <v>34195</v>
      </c>
      <c r="F136" s="165">
        <v>19943</v>
      </c>
      <c r="G136" s="165">
        <v>20738</v>
      </c>
      <c r="H136" s="165">
        <v>18376</v>
      </c>
      <c r="I136" s="166">
        <f>IFERROR(H136/G136-1,"-")</f>
        <v>-0.1138971935577201</v>
      </c>
      <c r="J136" s="165">
        <f t="shared" si="40"/>
        <v>-2362</v>
      </c>
      <c r="K136" s="166">
        <f>H136/H$8</f>
        <v>3.3531133445736348E-3</v>
      </c>
    </row>
    <row r="137" spans="2:14" x14ac:dyDescent="0.25">
      <c r="B137" s="164" t="s">
        <v>102</v>
      </c>
      <c r="C137" s="165">
        <v>20687</v>
      </c>
      <c r="D137" s="165">
        <v>6781</v>
      </c>
      <c r="E137" s="165">
        <v>11021</v>
      </c>
      <c r="F137" s="165">
        <v>9118</v>
      </c>
      <c r="G137" s="165">
        <v>11280</v>
      </c>
      <c r="H137" s="165">
        <v>10812</v>
      </c>
      <c r="I137" s="166">
        <f>IFERROR(H137/G137-1,"-")</f>
        <v>-4.1489361702127692E-2</v>
      </c>
      <c r="J137" s="165">
        <f t="shared" si="40"/>
        <v>-468</v>
      </c>
      <c r="K137" s="166">
        <f>H137/H$8</f>
        <v>1.9728918960345092E-3</v>
      </c>
    </row>
    <row r="138" spans="2:14" x14ac:dyDescent="0.25">
      <c r="B138" s="160" t="s">
        <v>109</v>
      </c>
      <c r="C138" s="161">
        <v>204647</v>
      </c>
      <c r="D138" s="161">
        <v>69842</v>
      </c>
      <c r="E138" s="161">
        <v>95130</v>
      </c>
      <c r="F138" s="161">
        <v>228056</v>
      </c>
      <c r="G138" s="161">
        <v>246576</v>
      </c>
      <c r="H138" s="161">
        <v>258622</v>
      </c>
      <c r="I138" s="162">
        <f>IFERROR(H138/G138-1,"-")</f>
        <v>4.8853091947310467E-2</v>
      </c>
      <c r="J138" s="161">
        <f t="shared" si="40"/>
        <v>12046</v>
      </c>
      <c r="K138" s="162">
        <f>H138/H$8</f>
        <v>4.7191384381819905E-2</v>
      </c>
    </row>
    <row r="139" spans="2:14" x14ac:dyDescent="0.25">
      <c r="B139" s="164" t="s">
        <v>112</v>
      </c>
      <c r="C139" s="165">
        <v>100583</v>
      </c>
      <c r="D139" s="165">
        <v>26093</v>
      </c>
      <c r="E139" s="165">
        <v>26467</v>
      </c>
      <c r="F139" s="165">
        <v>96562</v>
      </c>
      <c r="G139" s="165">
        <v>105830</v>
      </c>
      <c r="H139" s="165">
        <v>116159</v>
      </c>
      <c r="I139" s="166">
        <f t="shared" ref="I139:I146" si="41">IFERROR(H139/G139-1,"-")</f>
        <v>9.7599924407067995E-2</v>
      </c>
      <c r="J139" s="165">
        <f t="shared" si="40"/>
        <v>10329</v>
      </c>
      <c r="K139" s="166">
        <f t="shared" ref="K139:K146" si="42">H139/H$8</f>
        <v>2.119581481238185E-2</v>
      </c>
    </row>
    <row r="140" spans="2:14" x14ac:dyDescent="0.25">
      <c r="B140" s="164" t="s">
        <v>115</v>
      </c>
      <c r="C140" s="165">
        <v>15093</v>
      </c>
      <c r="D140" s="165">
        <v>6042</v>
      </c>
      <c r="E140" s="165">
        <v>9298</v>
      </c>
      <c r="F140" s="165">
        <v>16587</v>
      </c>
      <c r="G140" s="165">
        <v>20785</v>
      </c>
      <c r="H140" s="165">
        <v>21459</v>
      </c>
      <c r="I140" s="166">
        <f t="shared" si="41"/>
        <v>3.2427231176329174E-2</v>
      </c>
      <c r="J140" s="165">
        <f t="shared" si="40"/>
        <v>674</v>
      </c>
      <c r="K140" s="166">
        <f t="shared" si="42"/>
        <v>3.9156758413803677E-3</v>
      </c>
    </row>
    <row r="141" spans="2:14" x14ac:dyDescent="0.25">
      <c r="B141" s="164" t="s">
        <v>118</v>
      </c>
      <c r="C141" s="165">
        <v>19622</v>
      </c>
      <c r="D141" s="165">
        <v>6586</v>
      </c>
      <c r="E141" s="165">
        <v>15246</v>
      </c>
      <c r="F141" s="165">
        <v>26940</v>
      </c>
      <c r="G141" s="165">
        <v>25089</v>
      </c>
      <c r="H141" s="165">
        <v>24579</v>
      </c>
      <c r="I141" s="166">
        <f t="shared" si="41"/>
        <v>-2.0327633624297459E-2</v>
      </c>
      <c r="J141" s="165">
        <f t="shared" si="40"/>
        <v>-510</v>
      </c>
      <c r="K141" s="166">
        <f t="shared" si="42"/>
        <v>4.4849898180384946E-3</v>
      </c>
    </row>
    <row r="142" spans="2:14" x14ac:dyDescent="0.25">
      <c r="B142" s="164" t="s">
        <v>125</v>
      </c>
      <c r="C142" s="165">
        <v>3955</v>
      </c>
      <c r="D142" s="165">
        <v>1273</v>
      </c>
      <c r="E142" s="165">
        <v>4366</v>
      </c>
      <c r="F142" s="165">
        <v>9965</v>
      </c>
      <c r="G142" s="165">
        <v>8878</v>
      </c>
      <c r="H142" s="165">
        <v>6534</v>
      </c>
      <c r="I142" s="166">
        <f t="shared" si="41"/>
        <v>-0.26402342870015771</v>
      </c>
      <c r="J142" s="165">
        <f t="shared" si="40"/>
        <v>-2344</v>
      </c>
      <c r="K142" s="166">
        <f t="shared" si="42"/>
        <v>1.1922748472705774E-3</v>
      </c>
    </row>
    <row r="143" spans="2:14" x14ac:dyDescent="0.25">
      <c r="B143" s="164" t="s">
        <v>121</v>
      </c>
      <c r="C143" s="165">
        <v>4225</v>
      </c>
      <c r="D143" s="165">
        <v>1935</v>
      </c>
      <c r="E143" s="165">
        <v>3344</v>
      </c>
      <c r="F143" s="165">
        <v>4569</v>
      </c>
      <c r="G143" s="165">
        <v>5490</v>
      </c>
      <c r="H143" s="165">
        <v>5563</v>
      </c>
      <c r="I143" s="166">
        <f t="shared" si="41"/>
        <v>1.3296903460837894E-2</v>
      </c>
      <c r="J143" s="165">
        <f t="shared" si="40"/>
        <v>73</v>
      </c>
      <c r="K143" s="166">
        <f t="shared" si="42"/>
        <v>1.0150941192785771E-3</v>
      </c>
    </row>
    <row r="144" spans="2:14" x14ac:dyDescent="0.25">
      <c r="B144" s="164" t="s">
        <v>130</v>
      </c>
      <c r="C144" s="165">
        <v>2428</v>
      </c>
      <c r="D144" s="165">
        <v>1979</v>
      </c>
      <c r="E144" s="165">
        <v>1422</v>
      </c>
      <c r="F144" s="165">
        <v>3324</v>
      </c>
      <c r="G144" s="165">
        <v>3691</v>
      </c>
      <c r="H144" s="165">
        <v>3402</v>
      </c>
      <c r="I144" s="166">
        <f t="shared" si="41"/>
        <v>-7.8298564074776533E-2</v>
      </c>
      <c r="J144" s="165">
        <f t="shared" si="40"/>
        <v>-289</v>
      </c>
      <c r="K144" s="166">
        <f t="shared" si="42"/>
        <v>6.2077120147145768E-4</v>
      </c>
    </row>
    <row r="145" spans="2:14" x14ac:dyDescent="0.25">
      <c r="B145" s="164" t="s">
        <v>133</v>
      </c>
      <c r="C145" s="165">
        <v>6221</v>
      </c>
      <c r="D145" s="165">
        <v>4050</v>
      </c>
      <c r="E145" s="165">
        <v>947</v>
      </c>
      <c r="F145" s="165">
        <v>2079</v>
      </c>
      <c r="G145" s="165">
        <v>2885</v>
      </c>
      <c r="H145" s="165">
        <v>2731</v>
      </c>
      <c r="I145" s="166">
        <f t="shared" si="41"/>
        <v>-5.3379549393414161E-2</v>
      </c>
      <c r="J145" s="165">
        <f t="shared" si="40"/>
        <v>-154</v>
      </c>
      <c r="K145" s="166">
        <f t="shared" si="42"/>
        <v>4.9833220200427711E-4</v>
      </c>
    </row>
    <row r="146" spans="2:14" x14ac:dyDescent="0.25">
      <c r="B146" s="169" t="s">
        <v>147</v>
      </c>
      <c r="C146" s="170">
        <f t="shared" ref="C146:H146" si="43">C138-SUM(C139:C145)</f>
        <v>52520</v>
      </c>
      <c r="D146" s="170">
        <f t="shared" si="43"/>
        <v>21884</v>
      </c>
      <c r="E146" s="170">
        <f t="shared" si="43"/>
        <v>34040</v>
      </c>
      <c r="F146" s="170">
        <f t="shared" si="43"/>
        <v>68030</v>
      </c>
      <c r="G146" s="170">
        <f t="shared" si="43"/>
        <v>73928</v>
      </c>
      <c r="H146" s="170">
        <f t="shared" si="43"/>
        <v>78195</v>
      </c>
      <c r="I146" s="171">
        <f t="shared" si="41"/>
        <v>5.7718320528081346E-2</v>
      </c>
      <c r="J146" s="170">
        <f>H146-G146</f>
        <v>4267</v>
      </c>
      <c r="K146" s="171">
        <f t="shared" si="42"/>
        <v>1.4268431539994306E-2</v>
      </c>
    </row>
    <row r="147" spans="2:14" x14ac:dyDescent="0.25">
      <c r="B147" s="156" t="s">
        <v>55</v>
      </c>
      <c r="C147" s="154"/>
      <c r="D147" s="154"/>
      <c r="E147" s="154"/>
      <c r="F147" s="154"/>
      <c r="G147" s="154"/>
      <c r="H147" s="155"/>
      <c r="I147" s="155"/>
      <c r="J147" s="155"/>
      <c r="K147" s="154"/>
      <c r="L147" s="172"/>
      <c r="M147" s="172"/>
      <c r="N147" s="172"/>
    </row>
    <row r="148" spans="2:14" x14ac:dyDescent="0.25">
      <c r="B148" s="157" t="s">
        <v>70</v>
      </c>
      <c r="C148" s="158">
        <v>126097</v>
      </c>
      <c r="D148" s="158">
        <v>43425</v>
      </c>
      <c r="E148" s="158">
        <v>71959</v>
      </c>
      <c r="F148" s="158">
        <v>111437</v>
      </c>
      <c r="G148" s="158">
        <v>123198</v>
      </c>
      <c r="H148" s="158">
        <v>128395</v>
      </c>
      <c r="I148" s="159">
        <f>IFERROR(H148/G148-1,"-")</f>
        <v>4.2184126365687691E-2</v>
      </c>
      <c r="J148" s="158">
        <f>H148-G148</f>
        <v>5197</v>
      </c>
      <c r="K148" s="159">
        <f>H148/H$8</f>
        <v>2.3428547446480836E-2</v>
      </c>
      <c r="L148" s="107"/>
      <c r="M148" s="107"/>
      <c r="N148" s="107"/>
    </row>
    <row r="149" spans="2:14" x14ac:dyDescent="0.25">
      <c r="B149" s="160" t="s">
        <v>99</v>
      </c>
      <c r="C149" s="161">
        <v>54208</v>
      </c>
      <c r="D149" s="161">
        <v>22164</v>
      </c>
      <c r="E149" s="161">
        <v>40392</v>
      </c>
      <c r="F149" s="161">
        <v>57756</v>
      </c>
      <c r="G149" s="161">
        <v>59696</v>
      </c>
      <c r="H149" s="161">
        <v>55970</v>
      </c>
      <c r="I149" s="162">
        <f>IFERROR(H149/G149-1,"-")</f>
        <v>-6.2416242294291102E-2</v>
      </c>
      <c r="J149" s="161">
        <f t="shared" ref="J149:J159" si="44">H149-G149</f>
        <v>-3726</v>
      </c>
      <c r="K149" s="162">
        <f>H149/H$8</f>
        <v>1.0212981818447233E-2</v>
      </c>
    </row>
    <row r="150" spans="2:14" x14ac:dyDescent="0.25">
      <c r="B150" s="164" t="s">
        <v>105</v>
      </c>
      <c r="C150" s="165">
        <v>32990</v>
      </c>
      <c r="D150" s="165">
        <v>14597</v>
      </c>
      <c r="E150" s="165">
        <v>32366</v>
      </c>
      <c r="F150" s="165">
        <v>41603</v>
      </c>
      <c r="G150" s="165">
        <v>44199</v>
      </c>
      <c r="H150" s="165">
        <v>37836</v>
      </c>
      <c r="I150" s="166">
        <f>IFERROR(H150/G150-1,"-")</f>
        <v>-0.14396253308898388</v>
      </c>
      <c r="J150" s="165">
        <f t="shared" si="44"/>
        <v>-6363</v>
      </c>
      <c r="K150" s="166">
        <f>H150/H$8</f>
        <v>6.904026801550286E-3</v>
      </c>
    </row>
    <row r="151" spans="2:14" x14ac:dyDescent="0.25">
      <c r="B151" s="164" t="s">
        <v>102</v>
      </c>
      <c r="C151" s="165">
        <v>21218</v>
      </c>
      <c r="D151" s="165">
        <v>7567</v>
      </c>
      <c r="E151" s="165">
        <v>8026</v>
      </c>
      <c r="F151" s="165">
        <v>16153</v>
      </c>
      <c r="G151" s="165">
        <v>15497</v>
      </c>
      <c r="H151" s="165">
        <v>18134</v>
      </c>
      <c r="I151" s="166">
        <f>IFERROR(H151/G151-1,"-")</f>
        <v>0.17016196683229001</v>
      </c>
      <c r="J151" s="165">
        <f t="shared" si="44"/>
        <v>2637</v>
      </c>
      <c r="K151" s="166">
        <f>H151/H$8</f>
        <v>3.3089550168969467E-3</v>
      </c>
    </row>
    <row r="152" spans="2:14" x14ac:dyDescent="0.25">
      <c r="B152" s="160" t="s">
        <v>109</v>
      </c>
      <c r="C152" s="161">
        <v>71889</v>
      </c>
      <c r="D152" s="161">
        <v>21261</v>
      </c>
      <c r="E152" s="161">
        <v>31567</v>
      </c>
      <c r="F152" s="161">
        <v>53681</v>
      </c>
      <c r="G152" s="161">
        <v>63502</v>
      </c>
      <c r="H152" s="161">
        <v>72425</v>
      </c>
      <c r="I152" s="162">
        <f>IFERROR(H152/G152-1,"-")</f>
        <v>0.14051525936190989</v>
      </c>
      <c r="J152" s="161">
        <f t="shared" si="44"/>
        <v>8923</v>
      </c>
      <c r="K152" s="162">
        <f>H152/H$8</f>
        <v>1.3215565628033605E-2</v>
      </c>
    </row>
    <row r="153" spans="2:14" x14ac:dyDescent="0.25">
      <c r="B153" s="164" t="s">
        <v>112</v>
      </c>
      <c r="C153" s="165">
        <v>21798</v>
      </c>
      <c r="D153" s="165">
        <v>5789</v>
      </c>
      <c r="E153" s="165">
        <v>5609</v>
      </c>
      <c r="F153" s="165">
        <v>19238</v>
      </c>
      <c r="G153" s="165">
        <v>18996</v>
      </c>
      <c r="H153" s="165">
        <v>20085</v>
      </c>
      <c r="I153" s="166">
        <f t="shared" ref="I153:I160" si="45">IFERROR(H153/G153-1,"-")</f>
        <v>5.7327858496525552E-2</v>
      </c>
      <c r="J153" s="165">
        <f t="shared" si="44"/>
        <v>1089</v>
      </c>
      <c r="K153" s="166">
        <f t="shared" ref="K153:K160" si="46">H153/H$8</f>
        <v>3.6649587247366924E-3</v>
      </c>
    </row>
    <row r="154" spans="2:14" x14ac:dyDescent="0.25">
      <c r="B154" s="164" t="s">
        <v>115</v>
      </c>
      <c r="C154" s="165">
        <v>18523</v>
      </c>
      <c r="D154" s="165">
        <v>5079</v>
      </c>
      <c r="E154" s="165">
        <v>8623</v>
      </c>
      <c r="F154" s="165">
        <v>11385</v>
      </c>
      <c r="G154" s="165">
        <v>12605</v>
      </c>
      <c r="H154" s="165">
        <v>13027</v>
      </c>
      <c r="I154" s="166">
        <f t="shared" si="45"/>
        <v>3.3478778262594266E-2</v>
      </c>
      <c r="J154" s="165">
        <f t="shared" si="44"/>
        <v>422</v>
      </c>
      <c r="K154" s="166">
        <f t="shared" si="46"/>
        <v>2.3770683249760959E-3</v>
      </c>
    </row>
    <row r="155" spans="2:14" x14ac:dyDescent="0.25">
      <c r="B155" s="164" t="s">
        <v>118</v>
      </c>
      <c r="C155" s="165">
        <v>9905</v>
      </c>
      <c r="D155" s="165">
        <v>2317</v>
      </c>
      <c r="E155" s="165">
        <v>5206</v>
      </c>
      <c r="F155" s="165">
        <v>6579</v>
      </c>
      <c r="G155" s="165">
        <v>10130</v>
      </c>
      <c r="H155" s="165">
        <v>12879</v>
      </c>
      <c r="I155" s="166">
        <f t="shared" si="45"/>
        <v>0.2713721618953604</v>
      </c>
      <c r="J155" s="165">
        <f t="shared" si="44"/>
        <v>2749</v>
      </c>
      <c r="K155" s="166">
        <f t="shared" si="46"/>
        <v>2.3500624055705181E-3</v>
      </c>
    </row>
    <row r="156" spans="2:14" x14ac:dyDescent="0.25">
      <c r="B156" s="164" t="s">
        <v>125</v>
      </c>
      <c r="C156" s="165">
        <v>1673</v>
      </c>
      <c r="D156" s="165">
        <v>600</v>
      </c>
      <c r="E156" s="165">
        <v>927</v>
      </c>
      <c r="F156" s="165">
        <v>1690</v>
      </c>
      <c r="G156" s="165">
        <v>2031</v>
      </c>
      <c r="H156" s="165">
        <v>2829</v>
      </c>
      <c r="I156" s="166">
        <f t="shared" si="45"/>
        <v>0.39290989660265874</v>
      </c>
      <c r="J156" s="165">
        <f t="shared" si="44"/>
        <v>798</v>
      </c>
      <c r="K156" s="166">
        <f t="shared" si="46"/>
        <v>5.1621449998905165E-4</v>
      </c>
    </row>
    <row r="157" spans="2:14" x14ac:dyDescent="0.25">
      <c r="B157" s="164" t="s">
        <v>121</v>
      </c>
      <c r="C157" s="165">
        <v>3007</v>
      </c>
      <c r="D157" s="165">
        <v>1505</v>
      </c>
      <c r="E157" s="165">
        <v>1749</v>
      </c>
      <c r="F157" s="165">
        <v>2959</v>
      </c>
      <c r="G157" s="165">
        <v>3062</v>
      </c>
      <c r="H157" s="165">
        <v>3505</v>
      </c>
      <c r="I157" s="166">
        <f t="shared" si="45"/>
        <v>0.14467668190725025</v>
      </c>
      <c r="J157" s="165">
        <f t="shared" si="44"/>
        <v>443</v>
      </c>
      <c r="K157" s="166">
        <f t="shared" si="46"/>
        <v>6.3956586159831248E-4</v>
      </c>
    </row>
    <row r="158" spans="2:14" x14ac:dyDescent="0.25">
      <c r="B158" s="164" t="s">
        <v>130</v>
      </c>
      <c r="C158" s="165">
        <v>472</v>
      </c>
      <c r="D158" s="165">
        <v>354</v>
      </c>
      <c r="E158" s="165">
        <v>292</v>
      </c>
      <c r="F158" s="165">
        <v>497</v>
      </c>
      <c r="G158" s="165">
        <v>676</v>
      </c>
      <c r="H158" s="165">
        <v>484</v>
      </c>
      <c r="I158" s="166">
        <f t="shared" si="45"/>
        <v>-0.28402366863905326</v>
      </c>
      <c r="J158" s="165">
        <f t="shared" si="44"/>
        <v>-192</v>
      </c>
      <c r="K158" s="166">
        <f t="shared" si="46"/>
        <v>8.8316655353376099E-5</v>
      </c>
    </row>
    <row r="159" spans="2:14" x14ac:dyDescent="0.25">
      <c r="B159" s="164" t="s">
        <v>133</v>
      </c>
      <c r="C159" s="165">
        <v>1062</v>
      </c>
      <c r="D159" s="165">
        <v>441</v>
      </c>
      <c r="E159" s="165">
        <v>454</v>
      </c>
      <c r="F159" s="165">
        <v>656</v>
      </c>
      <c r="G159" s="165">
        <v>941</v>
      </c>
      <c r="H159" s="165">
        <v>796</v>
      </c>
      <c r="I159" s="166">
        <f t="shared" si="45"/>
        <v>-0.15409139213602552</v>
      </c>
      <c r="J159" s="165">
        <f t="shared" si="44"/>
        <v>-145</v>
      </c>
      <c r="K159" s="166">
        <f t="shared" si="46"/>
        <v>1.4524805301918881E-4</v>
      </c>
    </row>
    <row r="160" spans="2:14" x14ac:dyDescent="0.25">
      <c r="B160" s="169" t="s">
        <v>147</v>
      </c>
      <c r="C160" s="170">
        <f t="shared" ref="C160:H160" si="47">C152-SUM(C153:C159)</f>
        <v>15449</v>
      </c>
      <c r="D160" s="170">
        <f t="shared" si="47"/>
        <v>5176</v>
      </c>
      <c r="E160" s="170">
        <f t="shared" si="47"/>
        <v>8707</v>
      </c>
      <c r="F160" s="170">
        <f t="shared" si="47"/>
        <v>10677</v>
      </c>
      <c r="G160" s="170">
        <f t="shared" si="47"/>
        <v>15061</v>
      </c>
      <c r="H160" s="170">
        <f t="shared" si="47"/>
        <v>18820</v>
      </c>
      <c r="I160" s="171">
        <f t="shared" si="45"/>
        <v>0.24958502091494594</v>
      </c>
      <c r="J160" s="170">
        <f>H160-G160</f>
        <v>3759</v>
      </c>
      <c r="K160" s="171">
        <f t="shared" si="46"/>
        <v>3.4341311027903682E-3</v>
      </c>
    </row>
    <row r="161" spans="2:11" x14ac:dyDescent="0.25">
      <c r="B161" s="172"/>
      <c r="C161" s="172"/>
      <c r="D161" s="172"/>
      <c r="E161" s="172"/>
      <c r="F161" s="172"/>
      <c r="G161" s="172"/>
      <c r="H161" s="172"/>
      <c r="I161" s="172"/>
      <c r="J161" s="172"/>
      <c r="K161" s="172"/>
    </row>
    <row r="162" spans="2:11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</row>
  </sheetData>
  <mergeCells count="3">
    <mergeCell ref="B3:K3"/>
    <mergeCell ref="C5:K5"/>
    <mergeCell ref="O5:W5"/>
  </mergeCells>
  <pageMargins left="0.25" right="0.25" top="0.75" bottom="0.75" header="0.3" footer="0.3"/>
  <pageSetup paperSize="9" scale="2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7C05A5-60EF-4711-B14F-2916C01D727F}">
  <sheetPr>
    <tabColor theme="7" tint="0.79998168889431442"/>
  </sheetPr>
  <dimension ref="A1:T165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10" width="13.7109375" customWidth="1"/>
    <col min="13" max="20" width="11.42578125" hidden="1" customWidth="1"/>
  </cols>
  <sheetData>
    <row r="1" spans="1:20" ht="42.75" customHeight="1" x14ac:dyDescent="0.25"/>
    <row r="2" spans="1:20" ht="18" customHeight="1" x14ac:dyDescent="0.25"/>
    <row r="3" spans="1:20" x14ac:dyDescent="0.25">
      <c r="B3" s="57"/>
    </row>
    <row r="6" spans="1:20" ht="42" customHeight="1" thickBot="1" x14ac:dyDescent="0.3">
      <c r="B6" s="278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6" s="278"/>
      <c r="D6" s="278"/>
      <c r="E6" s="278"/>
      <c r="F6" s="278"/>
      <c r="G6" s="278"/>
      <c r="H6" s="278"/>
      <c r="I6" s="278"/>
      <c r="J6" s="278"/>
      <c r="M6" s="278" t="s">
        <v>258</v>
      </c>
      <c r="N6" s="278"/>
      <c r="O6" s="278"/>
      <c r="P6" s="278"/>
      <c r="Q6" s="278"/>
      <c r="R6" s="278"/>
      <c r="S6" s="278"/>
      <c r="T6" s="278"/>
    </row>
    <row r="7" spans="1:20" ht="6" customHeight="1" x14ac:dyDescent="0.25"/>
    <row r="8" spans="1:20" ht="15.75" x14ac:dyDescent="0.25">
      <c r="B8" s="146"/>
      <c r="C8" s="311" t="s">
        <v>45</v>
      </c>
      <c r="D8" s="312"/>
      <c r="E8" s="312"/>
      <c r="F8" s="312"/>
      <c r="G8" s="312"/>
      <c r="H8" s="312"/>
      <c r="I8" s="312"/>
      <c r="J8" s="312"/>
    </row>
    <row r="9" spans="1:20" s="147" customFormat="1" ht="72" customHeight="1" x14ac:dyDescent="0.25">
      <c r="A9"/>
      <c r="B9" s="148"/>
      <c r="C9" s="173" t="s">
        <v>257</v>
      </c>
      <c r="D9" s="173" t="s">
        <v>224</v>
      </c>
      <c r="E9" s="173" t="s">
        <v>225</v>
      </c>
      <c r="F9" s="173" t="s">
        <v>226</v>
      </c>
      <c r="G9" s="173" t="s">
        <v>227</v>
      </c>
      <c r="H9" s="173" t="s">
        <v>228</v>
      </c>
      <c r="I9" s="174" t="str">
        <f>CONCATENATE("var. ",RIGHT(H9,2),"/",RIGHT(G9,2))</f>
        <v>var. 25/24</v>
      </c>
      <c r="J9" s="174" t="str">
        <f>CONCATENATE("Cuota s/ total lugares de residencia ",RIGHT(H9,4))</f>
        <v>Cuota s/ total lugares de residencia 2025</v>
      </c>
      <c r="M9" s="148"/>
      <c r="N9" s="173" t="s">
        <v>257</v>
      </c>
      <c r="O9" s="173" t="s">
        <v>224</v>
      </c>
      <c r="P9" s="173" t="s">
        <v>225</v>
      </c>
      <c r="Q9" s="173" t="s">
        <v>226</v>
      </c>
      <c r="R9" s="173" t="s">
        <v>227</v>
      </c>
      <c r="S9" s="173" t="s">
        <v>228</v>
      </c>
      <c r="T9" s="174" t="str">
        <f>CONCATENATE("Cuota s/ total lugares de residencia ",RIGHT(R9,4))</f>
        <v>Cuota s/ total lugares de residencia 2024</v>
      </c>
    </row>
    <row r="10" spans="1:20" x14ac:dyDescent="0.25">
      <c r="B10" s="153" t="s">
        <v>45</v>
      </c>
      <c r="C10" s="154"/>
      <c r="D10" s="154"/>
      <c r="E10" s="154"/>
      <c r="F10" s="154"/>
      <c r="G10" s="154"/>
      <c r="H10" s="154"/>
      <c r="I10" s="155"/>
      <c r="J10" s="155"/>
      <c r="M10" s="156" t="s">
        <v>53</v>
      </c>
      <c r="N10" s="175"/>
      <c r="O10" s="175"/>
      <c r="P10" s="175"/>
      <c r="Q10" s="175"/>
      <c r="R10" s="175"/>
      <c r="S10" s="176"/>
      <c r="T10" s="176"/>
    </row>
    <row r="11" spans="1:20" x14ac:dyDescent="0.25">
      <c r="B11" s="157" t="s">
        <v>70</v>
      </c>
      <c r="C11" s="177">
        <v>4661</v>
      </c>
      <c r="D11" s="177">
        <v>142483</v>
      </c>
      <c r="E11" s="177">
        <v>381871</v>
      </c>
      <c r="F11" s="177">
        <v>431303</v>
      </c>
      <c r="G11" s="177">
        <v>446421</v>
      </c>
      <c r="H11" s="177">
        <v>437805</v>
      </c>
      <c r="I11" s="178">
        <f t="shared" ref="I11:I23" si="0">IFERROR(H11/G11-1,"-")</f>
        <v>-1.9300167330837947E-2</v>
      </c>
      <c r="J11" s="178">
        <f>H11/H11</f>
        <v>1</v>
      </c>
      <c r="K11" s="81"/>
      <c r="L11" s="81"/>
      <c r="M11" s="157" t="s">
        <v>70</v>
      </c>
      <c r="N11" s="177">
        <v>0</v>
      </c>
      <c r="O11" s="177">
        <v>13541</v>
      </c>
      <c r="P11" s="177">
        <v>17608</v>
      </c>
      <c r="Q11" s="177">
        <v>17983</v>
      </c>
      <c r="R11" s="177">
        <v>19479</v>
      </c>
      <c r="S11" s="178">
        <f t="shared" ref="S11:S23" si="1">IFERROR(R11/Q11-1,"-")</f>
        <v>8.3189679141411288E-2</v>
      </c>
      <c r="T11" s="178">
        <f>R11/R11</f>
        <v>1</v>
      </c>
    </row>
    <row r="12" spans="1:20" x14ac:dyDescent="0.25">
      <c r="B12" s="160" t="s">
        <v>99</v>
      </c>
      <c r="C12" s="161">
        <v>3723</v>
      </c>
      <c r="D12" s="161">
        <v>78711</v>
      </c>
      <c r="E12" s="161">
        <v>101392</v>
      </c>
      <c r="F12" s="161">
        <v>118625</v>
      </c>
      <c r="G12" s="161">
        <v>112853</v>
      </c>
      <c r="H12" s="161">
        <v>107331</v>
      </c>
      <c r="I12" s="162">
        <f t="shared" si="0"/>
        <v>-4.8930910122017113E-2</v>
      </c>
      <c r="J12" s="162">
        <f>H12/H11</f>
        <v>0.24515709048549011</v>
      </c>
      <c r="K12" s="81"/>
      <c r="L12" s="81"/>
      <c r="M12" s="160" t="s">
        <v>99</v>
      </c>
      <c r="N12" s="161">
        <v>0</v>
      </c>
      <c r="O12" s="161">
        <v>9924</v>
      </c>
      <c r="P12" s="161">
        <v>12409</v>
      </c>
      <c r="Q12" s="161">
        <v>13066</v>
      </c>
      <c r="R12" s="161">
        <v>14875</v>
      </c>
      <c r="S12" s="162">
        <f t="shared" si="1"/>
        <v>0.13845094137455982</v>
      </c>
      <c r="T12" s="162">
        <f>R12/R11</f>
        <v>0.76364289747933667</v>
      </c>
    </row>
    <row r="13" spans="1:20" x14ac:dyDescent="0.25">
      <c r="B13" s="164" t="s">
        <v>105</v>
      </c>
      <c r="C13" s="165">
        <v>2279</v>
      </c>
      <c r="D13" s="165">
        <v>43273</v>
      </c>
      <c r="E13" s="165">
        <v>39451</v>
      </c>
      <c r="F13" s="165">
        <v>51886</v>
      </c>
      <c r="G13" s="165">
        <v>48022</v>
      </c>
      <c r="H13" s="165">
        <v>41036</v>
      </c>
      <c r="I13" s="166">
        <f t="shared" si="0"/>
        <v>-0.14547499062929492</v>
      </c>
      <c r="J13" s="166">
        <f>H13/H11</f>
        <v>9.373122737291717E-2</v>
      </c>
      <c r="K13" s="81"/>
      <c r="L13" s="81"/>
      <c r="M13" s="164" t="s">
        <v>105</v>
      </c>
      <c r="N13" s="165">
        <v>0</v>
      </c>
      <c r="O13" s="165">
        <v>5525</v>
      </c>
      <c r="P13" s="165">
        <v>6807</v>
      </c>
      <c r="Q13" s="165">
        <v>6349</v>
      </c>
      <c r="R13" s="165">
        <v>7333</v>
      </c>
      <c r="S13" s="166">
        <f t="shared" si="1"/>
        <v>0.15498503701370292</v>
      </c>
      <c r="T13" s="166">
        <f>R13/R11</f>
        <v>0.37645669695569589</v>
      </c>
    </row>
    <row r="14" spans="1:20" x14ac:dyDescent="0.25">
      <c r="B14" s="164" t="s">
        <v>102</v>
      </c>
      <c r="C14" s="165">
        <v>1444</v>
      </c>
      <c r="D14" s="165">
        <v>35438</v>
      </c>
      <c r="E14" s="165">
        <v>61941</v>
      </c>
      <c r="F14" s="165">
        <v>66739</v>
      </c>
      <c r="G14" s="165">
        <v>64831</v>
      </c>
      <c r="H14" s="165">
        <v>66295</v>
      </c>
      <c r="I14" s="166">
        <f t="shared" si="0"/>
        <v>2.2581789575974565E-2</v>
      </c>
      <c r="J14" s="166">
        <f>H14/H11</f>
        <v>0.15142586311257294</v>
      </c>
      <c r="K14" s="81"/>
      <c r="L14" s="81"/>
      <c r="M14" s="164" t="s">
        <v>102</v>
      </c>
      <c r="N14" s="165">
        <v>0</v>
      </c>
      <c r="O14" s="165">
        <v>4399</v>
      </c>
      <c r="P14" s="165">
        <v>5602</v>
      </c>
      <c r="Q14" s="165">
        <v>6717</v>
      </c>
      <c r="R14" s="165">
        <v>7542</v>
      </c>
      <c r="S14" s="166">
        <f t="shared" si="1"/>
        <v>0.12282268870031254</v>
      </c>
      <c r="T14" s="166">
        <f>R14/R11</f>
        <v>0.38718620052364083</v>
      </c>
    </row>
    <row r="15" spans="1:20" x14ac:dyDescent="0.25">
      <c r="B15" s="160" t="s">
        <v>109</v>
      </c>
      <c r="C15" s="161">
        <v>938</v>
      </c>
      <c r="D15" s="161">
        <v>63772</v>
      </c>
      <c r="E15" s="161">
        <v>280479</v>
      </c>
      <c r="F15" s="161">
        <v>312678</v>
      </c>
      <c r="G15" s="161">
        <v>333568</v>
      </c>
      <c r="H15" s="161">
        <v>330474</v>
      </c>
      <c r="I15" s="162">
        <f t="shared" si="0"/>
        <v>-9.2754700690713676E-3</v>
      </c>
      <c r="J15" s="162">
        <f>H15/H11</f>
        <v>0.75484290951450983</v>
      </c>
      <c r="K15" s="81"/>
      <c r="L15" s="81"/>
      <c r="M15" s="160" t="s">
        <v>109</v>
      </c>
      <c r="N15" s="161">
        <v>0</v>
      </c>
      <c r="O15" s="161">
        <v>3617</v>
      </c>
      <c r="P15" s="161">
        <v>5199</v>
      </c>
      <c r="Q15" s="161">
        <v>4917</v>
      </c>
      <c r="R15" s="161">
        <v>4604</v>
      </c>
      <c r="S15" s="162">
        <f t="shared" si="1"/>
        <v>-6.365670124059386E-2</v>
      </c>
      <c r="T15" s="162">
        <f>R15/R11</f>
        <v>0.23635710252066328</v>
      </c>
    </row>
    <row r="16" spans="1:20" x14ac:dyDescent="0.25">
      <c r="B16" s="164" t="s">
        <v>112</v>
      </c>
      <c r="C16" s="165">
        <v>122</v>
      </c>
      <c r="D16" s="165">
        <v>5286</v>
      </c>
      <c r="E16" s="165">
        <v>147240</v>
      </c>
      <c r="F16" s="165">
        <v>168411</v>
      </c>
      <c r="G16" s="165">
        <v>184316</v>
      </c>
      <c r="H16" s="165">
        <v>180359</v>
      </c>
      <c r="I16" s="166">
        <f t="shared" si="0"/>
        <v>-2.1468564856008121E-2</v>
      </c>
      <c r="J16" s="166">
        <f>H16/H11</f>
        <v>0.41196194652870571</v>
      </c>
      <c r="K16" s="81"/>
      <c r="L16" s="81"/>
      <c r="M16" s="164" t="s">
        <v>112</v>
      </c>
      <c r="N16" s="165">
        <v>0</v>
      </c>
      <c r="O16" s="165">
        <v>131</v>
      </c>
      <c r="P16" s="165">
        <v>513</v>
      </c>
      <c r="Q16" s="165">
        <v>875</v>
      </c>
      <c r="R16" s="165">
        <v>683</v>
      </c>
      <c r="S16" s="166">
        <f t="shared" si="1"/>
        <v>-0.21942857142857142</v>
      </c>
      <c r="T16" s="166">
        <f>R16/R11</f>
        <v>3.5063401611992402E-2</v>
      </c>
    </row>
    <row r="17" spans="1:20" x14ac:dyDescent="0.25">
      <c r="B17" s="164" t="s">
        <v>115</v>
      </c>
      <c r="C17" s="165">
        <v>152</v>
      </c>
      <c r="D17" s="165">
        <v>11388</v>
      </c>
      <c r="E17" s="165">
        <v>28586</v>
      </c>
      <c r="F17" s="165">
        <v>29614</v>
      </c>
      <c r="G17" s="165">
        <v>26950</v>
      </c>
      <c r="H17" s="165">
        <v>29135</v>
      </c>
      <c r="I17" s="166">
        <f t="shared" si="0"/>
        <v>8.1076066790352508E-2</v>
      </c>
      <c r="J17" s="166">
        <f>H17/H11</f>
        <v>6.6547892326492386E-2</v>
      </c>
      <c r="K17" s="81"/>
      <c r="L17" s="81"/>
      <c r="M17" s="164" t="s">
        <v>115</v>
      </c>
      <c r="N17" s="165">
        <v>0</v>
      </c>
      <c r="O17" s="165">
        <v>380</v>
      </c>
      <c r="P17" s="165">
        <v>330</v>
      </c>
      <c r="Q17" s="165">
        <v>472</v>
      </c>
      <c r="R17" s="165">
        <v>414</v>
      </c>
      <c r="S17" s="166">
        <f t="shared" si="1"/>
        <v>-0.1228813559322034</v>
      </c>
      <c r="T17" s="166">
        <f>R17/R11</f>
        <v>2.1253657785307255E-2</v>
      </c>
    </row>
    <row r="18" spans="1:20" x14ac:dyDescent="0.25">
      <c r="B18" s="164" t="s">
        <v>118</v>
      </c>
      <c r="C18" s="165">
        <v>38</v>
      </c>
      <c r="D18" s="165">
        <v>7599</v>
      </c>
      <c r="E18" s="165">
        <v>11317</v>
      </c>
      <c r="F18" s="165">
        <v>12929</v>
      </c>
      <c r="G18" s="165">
        <v>15088</v>
      </c>
      <c r="H18" s="165">
        <v>14012</v>
      </c>
      <c r="I18" s="166">
        <f t="shared" si="0"/>
        <v>-7.1314952279957544E-2</v>
      </c>
      <c r="J18" s="166">
        <f>H18/H11</f>
        <v>3.2005116433115197E-2</v>
      </c>
      <c r="K18" s="81"/>
      <c r="L18" s="81"/>
      <c r="M18" s="164" t="s">
        <v>118</v>
      </c>
      <c r="N18" s="165">
        <v>0</v>
      </c>
      <c r="O18" s="165">
        <v>396</v>
      </c>
      <c r="P18" s="165">
        <v>399</v>
      </c>
      <c r="Q18" s="165">
        <v>441</v>
      </c>
      <c r="R18" s="165">
        <v>365</v>
      </c>
      <c r="S18" s="166">
        <f t="shared" si="1"/>
        <v>-0.17233560090702948</v>
      </c>
      <c r="T18" s="166">
        <f>R18/R11</f>
        <v>1.8738128240669439E-2</v>
      </c>
    </row>
    <row r="19" spans="1:20" x14ac:dyDescent="0.25">
      <c r="B19" s="164" t="s">
        <v>125</v>
      </c>
      <c r="C19" s="165">
        <v>28</v>
      </c>
      <c r="D19" s="165">
        <v>5971</v>
      </c>
      <c r="E19" s="165">
        <v>11750</v>
      </c>
      <c r="F19" s="165">
        <v>11182</v>
      </c>
      <c r="G19" s="165">
        <v>11624</v>
      </c>
      <c r="H19" s="165">
        <v>9836</v>
      </c>
      <c r="I19" s="166">
        <f t="shared" si="0"/>
        <v>-0.15381968341362695</v>
      </c>
      <c r="J19" s="166">
        <f>H19/H11</f>
        <v>2.2466623268350066E-2</v>
      </c>
      <c r="K19" s="81"/>
      <c r="L19" s="81"/>
      <c r="M19" s="164" t="s">
        <v>125</v>
      </c>
      <c r="N19" s="165">
        <v>0</v>
      </c>
      <c r="O19" s="165">
        <v>76</v>
      </c>
      <c r="P19" s="165">
        <v>125</v>
      </c>
      <c r="Q19" s="165">
        <v>86</v>
      </c>
      <c r="R19" s="165">
        <v>103</v>
      </c>
      <c r="S19" s="166">
        <f t="shared" si="1"/>
        <v>0.19767441860465107</v>
      </c>
      <c r="T19" s="166">
        <f>R19/R11</f>
        <v>5.2877457775039787E-3</v>
      </c>
    </row>
    <row r="20" spans="1:20" x14ac:dyDescent="0.25">
      <c r="B20" s="164" t="s">
        <v>121</v>
      </c>
      <c r="C20" s="165">
        <v>17</v>
      </c>
      <c r="D20" s="165">
        <v>5753</v>
      </c>
      <c r="E20" s="165">
        <v>8661</v>
      </c>
      <c r="F20" s="165">
        <v>9490</v>
      </c>
      <c r="G20" s="165">
        <v>9964</v>
      </c>
      <c r="H20" s="165">
        <v>8994</v>
      </c>
      <c r="I20" s="166">
        <f t="shared" si="0"/>
        <v>-9.7350461661983134E-2</v>
      </c>
      <c r="J20" s="166">
        <f>H20/H11</f>
        <v>2.0543392606297325E-2</v>
      </c>
      <c r="K20" s="81"/>
      <c r="L20" s="81"/>
      <c r="M20" s="164" t="s">
        <v>121</v>
      </c>
      <c r="N20" s="165">
        <v>0</v>
      </c>
      <c r="O20" s="165">
        <v>63</v>
      </c>
      <c r="P20" s="165">
        <v>96</v>
      </c>
      <c r="Q20" s="165">
        <v>86</v>
      </c>
      <c r="R20" s="165">
        <v>117</v>
      </c>
      <c r="S20" s="166">
        <f t="shared" si="1"/>
        <v>0.36046511627906974</v>
      </c>
      <c r="T20" s="166">
        <f>R20/R11</f>
        <v>6.0064685045433542E-3</v>
      </c>
    </row>
    <row r="21" spans="1:20" x14ac:dyDescent="0.25">
      <c r="B21" s="164" t="s">
        <v>130</v>
      </c>
      <c r="C21" s="165">
        <v>8</v>
      </c>
      <c r="D21" s="165">
        <v>279</v>
      </c>
      <c r="E21" s="165">
        <v>926</v>
      </c>
      <c r="F21" s="165">
        <v>1189</v>
      </c>
      <c r="G21" s="165">
        <v>1054</v>
      </c>
      <c r="H21" s="165">
        <v>1019</v>
      </c>
      <c r="I21" s="166">
        <f t="shared" si="0"/>
        <v>-3.3206831119544589E-2</v>
      </c>
      <c r="J21" s="166">
        <f>H21/H11</f>
        <v>2.3275202430305731E-3</v>
      </c>
      <c r="K21" s="81"/>
      <c r="L21" s="81"/>
      <c r="M21" s="164" t="s">
        <v>130</v>
      </c>
      <c r="N21" s="165">
        <v>0</v>
      </c>
      <c r="O21" s="165">
        <v>3</v>
      </c>
      <c r="P21" s="165">
        <v>36</v>
      </c>
      <c r="Q21" s="165">
        <v>26</v>
      </c>
      <c r="R21" s="165">
        <v>39</v>
      </c>
      <c r="S21" s="166">
        <f t="shared" si="1"/>
        <v>0.5</v>
      </c>
      <c r="T21" s="166">
        <f>R21/R11</f>
        <v>2.0021561681811181E-3</v>
      </c>
    </row>
    <row r="22" spans="1:20" x14ac:dyDescent="0.25">
      <c r="A22" s="168"/>
      <c r="B22" s="164" t="s">
        <v>133</v>
      </c>
      <c r="C22" s="165">
        <v>19</v>
      </c>
      <c r="D22" s="165">
        <v>151</v>
      </c>
      <c r="E22" s="165">
        <v>719</v>
      </c>
      <c r="F22" s="165">
        <v>918</v>
      </c>
      <c r="G22" s="165">
        <v>519</v>
      </c>
      <c r="H22" s="165">
        <v>663</v>
      </c>
      <c r="I22" s="166">
        <f t="shared" si="0"/>
        <v>0.27745664739884401</v>
      </c>
      <c r="J22" s="166">
        <f>H22/H11</f>
        <v>1.514372837222051E-3</v>
      </c>
      <c r="K22" s="81"/>
      <c r="L22" s="81"/>
      <c r="M22" s="164" t="s">
        <v>133</v>
      </c>
      <c r="N22" s="165">
        <v>0</v>
      </c>
      <c r="O22" s="165">
        <v>27</v>
      </c>
      <c r="P22" s="165">
        <v>51</v>
      </c>
      <c r="Q22" s="165">
        <v>33</v>
      </c>
      <c r="R22" s="165">
        <v>26</v>
      </c>
      <c r="S22" s="166">
        <f t="shared" si="1"/>
        <v>-0.21212121212121215</v>
      </c>
      <c r="T22" s="166">
        <f>R22/R11</f>
        <v>1.334770778787412E-3</v>
      </c>
    </row>
    <row r="23" spans="1:20" x14ac:dyDescent="0.25">
      <c r="B23" s="169" t="s">
        <v>147</v>
      </c>
      <c r="C23" s="170">
        <f t="shared" ref="C23:H23" si="2">C15-SUM(C16:C22)</f>
        <v>554</v>
      </c>
      <c r="D23" s="170">
        <f t="shared" si="2"/>
        <v>27345</v>
      </c>
      <c r="E23" s="170">
        <f t="shared" si="2"/>
        <v>71280</v>
      </c>
      <c r="F23" s="170">
        <f t="shared" si="2"/>
        <v>78945</v>
      </c>
      <c r="G23" s="170">
        <f t="shared" si="2"/>
        <v>84053</v>
      </c>
      <c r="H23" s="170">
        <f t="shared" si="2"/>
        <v>86456</v>
      </c>
      <c r="I23" s="171">
        <f t="shared" si="0"/>
        <v>2.8589104493593309E-2</v>
      </c>
      <c r="J23" s="171">
        <f>H23/H11</f>
        <v>0.19747604527129659</v>
      </c>
      <c r="K23" s="172"/>
      <c r="L23" s="172"/>
      <c r="M23" s="169" t="s">
        <v>147</v>
      </c>
      <c r="N23" s="170">
        <f>N15-SUM(N16:N22)</f>
        <v>0</v>
      </c>
      <c r="O23" s="170">
        <f>O15-SUM(O16:O22)</f>
        <v>2541</v>
      </c>
      <c r="P23" s="170">
        <f>P15-SUM(P16:P22)</f>
        <v>3649</v>
      </c>
      <c r="Q23" s="170">
        <f>Q15-SUM(Q16:Q22)</f>
        <v>2898</v>
      </c>
      <c r="R23" s="170">
        <f>R15-SUM(R16:R22)</f>
        <v>2857</v>
      </c>
      <c r="S23" s="171">
        <f t="shared" si="1"/>
        <v>-1.4147688060731523E-2</v>
      </c>
      <c r="T23" s="171">
        <f>R23/R11</f>
        <v>0.14667077365367831</v>
      </c>
    </row>
    <row r="24" spans="1:20" x14ac:dyDescent="0.25">
      <c r="B24" s="156" t="s">
        <v>46</v>
      </c>
      <c r="C24" s="175"/>
      <c r="D24" s="175"/>
      <c r="E24" s="175"/>
      <c r="F24" s="175"/>
      <c r="G24" s="175"/>
      <c r="H24" s="175"/>
      <c r="I24" s="176"/>
      <c r="J24" s="176"/>
      <c r="K24" s="107"/>
      <c r="L24" s="107"/>
      <c r="M24" s="107"/>
      <c r="N24" s="107"/>
      <c r="O24" s="107"/>
      <c r="P24" s="107"/>
      <c r="Q24" s="107"/>
      <c r="R24" s="107"/>
      <c r="S24" s="107"/>
    </row>
    <row r="25" spans="1:20" x14ac:dyDescent="0.25">
      <c r="B25" s="157" t="s">
        <v>70</v>
      </c>
      <c r="C25" s="177">
        <v>0</v>
      </c>
      <c r="D25" s="177">
        <v>53539</v>
      </c>
      <c r="E25" s="177">
        <v>144989</v>
      </c>
      <c r="F25" s="177">
        <v>157350</v>
      </c>
      <c r="G25" s="177">
        <v>157065</v>
      </c>
      <c r="H25" s="177">
        <v>145993</v>
      </c>
      <c r="I25" s="178">
        <f t="shared" ref="I25:I37" si="3">IFERROR(H25/G25-1,"-")</f>
        <v>-7.0493107948938372E-2</v>
      </c>
      <c r="J25" s="178">
        <f>H25/H25</f>
        <v>1</v>
      </c>
    </row>
    <row r="26" spans="1:20" x14ac:dyDescent="0.25">
      <c r="B26" s="160" t="s">
        <v>99</v>
      </c>
      <c r="C26" s="161">
        <v>0</v>
      </c>
      <c r="D26" s="161">
        <v>27958</v>
      </c>
      <c r="E26" s="161">
        <v>22658</v>
      </c>
      <c r="F26" s="161">
        <v>23558</v>
      </c>
      <c r="G26" s="161">
        <v>19400</v>
      </c>
      <c r="H26" s="161">
        <v>15286</v>
      </c>
      <c r="I26" s="162">
        <f t="shared" si="3"/>
        <v>-0.21206185567010305</v>
      </c>
      <c r="J26" s="162">
        <f>H26/H25</f>
        <v>0.10470365017500839</v>
      </c>
    </row>
    <row r="27" spans="1:20" x14ac:dyDescent="0.25">
      <c r="B27" s="164" t="s">
        <v>105</v>
      </c>
      <c r="C27" s="165">
        <v>0</v>
      </c>
      <c r="D27" s="165">
        <v>15846</v>
      </c>
      <c r="E27" s="165">
        <v>9634</v>
      </c>
      <c r="F27" s="165">
        <v>10032</v>
      </c>
      <c r="G27" s="165">
        <v>7684</v>
      </c>
      <c r="H27" s="165">
        <v>6914</v>
      </c>
      <c r="I27" s="166">
        <f t="shared" si="3"/>
        <v>-0.10020822488287351</v>
      </c>
      <c r="J27" s="166">
        <f>H27/H25</f>
        <v>4.7358434993458591E-2</v>
      </c>
    </row>
    <row r="28" spans="1:20" x14ac:dyDescent="0.25">
      <c r="B28" s="164" t="s">
        <v>102</v>
      </c>
      <c r="C28" s="165">
        <v>0</v>
      </c>
      <c r="D28" s="165">
        <v>12112</v>
      </c>
      <c r="E28" s="165">
        <v>13024</v>
      </c>
      <c r="F28" s="165">
        <v>13526</v>
      </c>
      <c r="G28" s="165">
        <v>11716</v>
      </c>
      <c r="H28" s="165">
        <v>8372</v>
      </c>
      <c r="I28" s="166">
        <f t="shared" si="3"/>
        <v>-0.28542164561283712</v>
      </c>
      <c r="J28" s="166">
        <f>H28/H25</f>
        <v>5.7345215181549801E-2</v>
      </c>
    </row>
    <row r="29" spans="1:20" x14ac:dyDescent="0.25">
      <c r="B29" s="160" t="s">
        <v>109</v>
      </c>
      <c r="C29" s="161">
        <v>0</v>
      </c>
      <c r="D29" s="161">
        <v>25581</v>
      </c>
      <c r="E29" s="161">
        <v>122331</v>
      </c>
      <c r="F29" s="161">
        <v>133792</v>
      </c>
      <c r="G29" s="161">
        <v>137665</v>
      </c>
      <c r="H29" s="161">
        <v>130707</v>
      </c>
      <c r="I29" s="162">
        <f t="shared" si="3"/>
        <v>-5.0542984781898115E-2</v>
      </c>
      <c r="J29" s="162">
        <f>H29/H25</f>
        <v>0.89529634982499162</v>
      </c>
    </row>
    <row r="30" spans="1:20" x14ac:dyDescent="0.25">
      <c r="B30" s="164" t="s">
        <v>112</v>
      </c>
      <c r="C30" s="165">
        <v>0</v>
      </c>
      <c r="D30" s="165">
        <v>2406</v>
      </c>
      <c r="E30" s="165">
        <v>67182</v>
      </c>
      <c r="F30" s="165">
        <v>77188</v>
      </c>
      <c r="G30" s="165">
        <v>81323</v>
      </c>
      <c r="H30" s="165">
        <v>76728</v>
      </c>
      <c r="I30" s="166">
        <f t="shared" si="3"/>
        <v>-5.6503080309383558E-2</v>
      </c>
      <c r="J30" s="166">
        <f>H30/H25</f>
        <v>0.52555944463090698</v>
      </c>
    </row>
    <row r="31" spans="1:20" x14ac:dyDescent="0.25">
      <c r="B31" s="164" t="s">
        <v>115</v>
      </c>
      <c r="C31" s="165">
        <v>0</v>
      </c>
      <c r="D31" s="165">
        <v>4999</v>
      </c>
      <c r="E31" s="165">
        <v>14646</v>
      </c>
      <c r="F31" s="165">
        <v>13951</v>
      </c>
      <c r="G31" s="165">
        <v>12875</v>
      </c>
      <c r="H31" s="165">
        <v>13066</v>
      </c>
      <c r="I31" s="166">
        <f t="shared" si="3"/>
        <v>1.4834951456310641E-2</v>
      </c>
      <c r="J31" s="166">
        <f>H31/H25</f>
        <v>8.9497441658161689E-2</v>
      </c>
    </row>
    <row r="32" spans="1:20" x14ac:dyDescent="0.25">
      <c r="B32" s="164" t="s">
        <v>118</v>
      </c>
      <c r="C32" s="165">
        <v>0</v>
      </c>
      <c r="D32" s="165">
        <v>2938</v>
      </c>
      <c r="E32" s="165">
        <v>4071</v>
      </c>
      <c r="F32" s="165">
        <v>3979</v>
      </c>
      <c r="G32" s="165">
        <v>3362</v>
      </c>
      <c r="H32" s="165">
        <v>3183</v>
      </c>
      <c r="I32" s="166">
        <f t="shared" si="3"/>
        <v>-5.3242117787031584E-2</v>
      </c>
      <c r="J32" s="166">
        <f>H32/H25</f>
        <v>2.1802415184289659E-2</v>
      </c>
    </row>
    <row r="33" spans="2:10" x14ac:dyDescent="0.25">
      <c r="B33" s="164" t="s">
        <v>125</v>
      </c>
      <c r="C33" s="165">
        <v>0</v>
      </c>
      <c r="D33" s="165">
        <v>2516</v>
      </c>
      <c r="E33" s="165">
        <v>5674</v>
      </c>
      <c r="F33" s="165">
        <v>5224</v>
      </c>
      <c r="G33" s="165">
        <v>5046</v>
      </c>
      <c r="H33" s="165">
        <v>4073</v>
      </c>
      <c r="I33" s="166">
        <f t="shared" si="3"/>
        <v>-0.19282600079270706</v>
      </c>
      <c r="J33" s="166">
        <f>H33/H25</f>
        <v>2.7898597877980449E-2</v>
      </c>
    </row>
    <row r="34" spans="2:10" x14ac:dyDescent="0.25">
      <c r="B34" s="164" t="s">
        <v>121</v>
      </c>
      <c r="C34" s="165">
        <v>0</v>
      </c>
      <c r="D34" s="165">
        <v>3358</v>
      </c>
      <c r="E34" s="165">
        <v>4830</v>
      </c>
      <c r="F34" s="165">
        <v>5029</v>
      </c>
      <c r="G34" s="165">
        <v>5288</v>
      </c>
      <c r="H34" s="165">
        <v>4500</v>
      </c>
      <c r="I34" s="166">
        <f t="shared" si="3"/>
        <v>-0.14901664145234494</v>
      </c>
      <c r="J34" s="166">
        <f>H34/H25</f>
        <v>3.0823395642256821E-2</v>
      </c>
    </row>
    <row r="35" spans="2:10" x14ac:dyDescent="0.25">
      <c r="B35" s="164" t="s">
        <v>130</v>
      </c>
      <c r="C35" s="165">
        <v>0</v>
      </c>
      <c r="D35" s="165">
        <v>37</v>
      </c>
      <c r="E35" s="165">
        <v>388</v>
      </c>
      <c r="F35" s="165">
        <v>450</v>
      </c>
      <c r="G35" s="165">
        <v>450</v>
      </c>
      <c r="H35" s="165">
        <v>436</v>
      </c>
      <c r="I35" s="166">
        <f t="shared" si="3"/>
        <v>-3.1111111111111089E-2</v>
      </c>
      <c r="J35" s="166">
        <f>H35/H25</f>
        <v>2.9864445555608829E-3</v>
      </c>
    </row>
    <row r="36" spans="2:10" x14ac:dyDescent="0.25">
      <c r="B36" s="164" t="s">
        <v>133</v>
      </c>
      <c r="C36" s="165">
        <v>0</v>
      </c>
      <c r="D36" s="165">
        <v>26</v>
      </c>
      <c r="E36" s="165">
        <v>298</v>
      </c>
      <c r="F36" s="165">
        <v>429</v>
      </c>
      <c r="G36" s="165">
        <v>233</v>
      </c>
      <c r="H36" s="165">
        <v>255</v>
      </c>
      <c r="I36" s="166">
        <f t="shared" si="3"/>
        <v>9.4420600858369008E-2</v>
      </c>
      <c r="J36" s="166">
        <f>H36/H25</f>
        <v>1.7466590863945532E-3</v>
      </c>
    </row>
    <row r="37" spans="2:10" x14ac:dyDescent="0.25">
      <c r="B37" s="169" t="s">
        <v>147</v>
      </c>
      <c r="C37" s="170">
        <f t="shared" ref="C37:H37" si="4">C29-SUM(C30:C36)</f>
        <v>0</v>
      </c>
      <c r="D37" s="170">
        <f t="shared" si="4"/>
        <v>9301</v>
      </c>
      <c r="E37" s="170">
        <f t="shared" si="4"/>
        <v>25242</v>
      </c>
      <c r="F37" s="170">
        <f t="shared" si="4"/>
        <v>27542</v>
      </c>
      <c r="G37" s="170">
        <f t="shared" si="4"/>
        <v>29088</v>
      </c>
      <c r="H37" s="170">
        <f t="shared" si="4"/>
        <v>28466</v>
      </c>
      <c r="I37" s="171">
        <f t="shared" si="3"/>
        <v>-2.1383388338833909E-2</v>
      </c>
      <c r="J37" s="171">
        <f>H37/H25</f>
        <v>0.19498195118944059</v>
      </c>
    </row>
    <row r="38" spans="2:10" x14ac:dyDescent="0.25">
      <c r="B38" s="156" t="s">
        <v>47</v>
      </c>
      <c r="C38" s="175"/>
      <c r="D38" s="175"/>
      <c r="E38" s="175"/>
      <c r="F38" s="175"/>
      <c r="G38" s="175"/>
      <c r="H38" s="175"/>
      <c r="I38" s="176"/>
      <c r="J38" s="176"/>
    </row>
    <row r="39" spans="2:10" x14ac:dyDescent="0.25">
      <c r="B39" s="157" t="s">
        <v>70</v>
      </c>
      <c r="C39" s="177">
        <v>0</v>
      </c>
      <c r="D39" s="177">
        <v>21147</v>
      </c>
      <c r="E39" s="177">
        <v>99145</v>
      </c>
      <c r="F39" s="177">
        <v>109784</v>
      </c>
      <c r="G39" s="177">
        <v>113390</v>
      </c>
      <c r="H39" s="177">
        <v>117164</v>
      </c>
      <c r="I39" s="178">
        <f t="shared" ref="I39:I51" si="5">IFERROR(H39/G39-1,"-")</f>
        <v>3.3283358320839618E-2</v>
      </c>
      <c r="J39" s="178">
        <f>H39/H39</f>
        <v>1</v>
      </c>
    </row>
    <row r="40" spans="2:10" x14ac:dyDescent="0.25">
      <c r="B40" s="160" t="s">
        <v>99</v>
      </c>
      <c r="C40" s="161">
        <v>0</v>
      </c>
      <c r="D40" s="161">
        <v>6523</v>
      </c>
      <c r="E40" s="161">
        <v>11920</v>
      </c>
      <c r="F40" s="161">
        <v>12303</v>
      </c>
      <c r="G40" s="161">
        <v>10664</v>
      </c>
      <c r="H40" s="161">
        <v>10671</v>
      </c>
      <c r="I40" s="162">
        <f t="shared" si="5"/>
        <v>6.5641410352590412E-4</v>
      </c>
      <c r="J40" s="162">
        <f>H40/H39</f>
        <v>9.1077464067460992E-2</v>
      </c>
    </row>
    <row r="41" spans="2:10" x14ac:dyDescent="0.25">
      <c r="B41" s="164" t="s">
        <v>105</v>
      </c>
      <c r="C41" s="165">
        <v>0</v>
      </c>
      <c r="D41" s="165">
        <v>4397</v>
      </c>
      <c r="E41" s="165">
        <v>4614</v>
      </c>
      <c r="F41" s="165">
        <v>5607</v>
      </c>
      <c r="G41" s="165">
        <v>5107</v>
      </c>
      <c r="H41" s="165">
        <v>4663</v>
      </c>
      <c r="I41" s="166">
        <f t="shared" si="5"/>
        <v>-8.6939494811043683E-2</v>
      </c>
      <c r="J41" s="166">
        <f>H41/H39</f>
        <v>3.9798914342289438E-2</v>
      </c>
    </row>
    <row r="42" spans="2:10" x14ac:dyDescent="0.25">
      <c r="B42" s="164" t="s">
        <v>102</v>
      </c>
      <c r="C42" s="165">
        <v>0</v>
      </c>
      <c r="D42" s="165">
        <v>2126</v>
      </c>
      <c r="E42" s="165">
        <v>7306</v>
      </c>
      <c r="F42" s="165">
        <v>6696</v>
      </c>
      <c r="G42" s="165">
        <v>5557</v>
      </c>
      <c r="H42" s="165">
        <v>6008</v>
      </c>
      <c r="I42" s="166">
        <f t="shared" si="5"/>
        <v>8.115889868634163E-2</v>
      </c>
      <c r="J42" s="166">
        <f>H42/H39</f>
        <v>5.1278549725171554E-2</v>
      </c>
    </row>
    <row r="43" spans="2:10" x14ac:dyDescent="0.25">
      <c r="B43" s="160" t="s">
        <v>109</v>
      </c>
      <c r="C43" s="161">
        <v>0</v>
      </c>
      <c r="D43" s="161">
        <v>14624</v>
      </c>
      <c r="E43" s="161">
        <v>87225</v>
      </c>
      <c r="F43" s="161">
        <v>97481</v>
      </c>
      <c r="G43" s="161">
        <v>102726</v>
      </c>
      <c r="H43" s="161">
        <v>106493</v>
      </c>
      <c r="I43" s="162">
        <f t="shared" si="5"/>
        <v>3.6670365827541129E-2</v>
      </c>
      <c r="J43" s="162">
        <f>H43/H39</f>
        <v>0.90892253593253902</v>
      </c>
    </row>
    <row r="44" spans="2:10" x14ac:dyDescent="0.25">
      <c r="B44" s="164" t="s">
        <v>112</v>
      </c>
      <c r="C44" s="165">
        <v>0</v>
      </c>
      <c r="D44" s="165">
        <v>1198</v>
      </c>
      <c r="E44" s="165">
        <v>53892</v>
      </c>
      <c r="F44" s="165">
        <v>60909</v>
      </c>
      <c r="G44" s="165">
        <v>66223</v>
      </c>
      <c r="H44" s="165">
        <v>66524</v>
      </c>
      <c r="I44" s="166">
        <f t="shared" si="5"/>
        <v>4.5452486296302386E-3</v>
      </c>
      <c r="J44" s="166">
        <f>H44/H39</f>
        <v>0.5677853265508177</v>
      </c>
    </row>
    <row r="45" spans="2:10" x14ac:dyDescent="0.25">
      <c r="B45" s="164" t="s">
        <v>115</v>
      </c>
      <c r="C45" s="165">
        <v>0</v>
      </c>
      <c r="D45" s="165">
        <v>777</v>
      </c>
      <c r="E45" s="165">
        <v>2403</v>
      </c>
      <c r="F45" s="165">
        <v>3004</v>
      </c>
      <c r="G45" s="165">
        <v>2187</v>
      </c>
      <c r="H45" s="165">
        <v>3148</v>
      </c>
      <c r="I45" s="166">
        <f t="shared" si="5"/>
        <v>0.43941472336534071</v>
      </c>
      <c r="J45" s="166">
        <f>H45/H39</f>
        <v>2.6868321327370184E-2</v>
      </c>
    </row>
    <row r="46" spans="2:10" x14ac:dyDescent="0.25">
      <c r="B46" s="164" t="s">
        <v>118</v>
      </c>
      <c r="C46" s="165">
        <v>0</v>
      </c>
      <c r="D46" s="165">
        <v>1226</v>
      </c>
      <c r="E46" s="165">
        <v>1538</v>
      </c>
      <c r="F46" s="165">
        <v>1790</v>
      </c>
      <c r="G46" s="165">
        <v>2073</v>
      </c>
      <c r="H46" s="165">
        <v>2047</v>
      </c>
      <c r="I46" s="166">
        <f t="shared" si="5"/>
        <v>-1.2542209358417766E-2</v>
      </c>
      <c r="J46" s="166">
        <f>H46/H39</f>
        <v>1.7471236898706086E-2</v>
      </c>
    </row>
    <row r="47" spans="2:10" x14ac:dyDescent="0.25">
      <c r="B47" s="164" t="s">
        <v>125</v>
      </c>
      <c r="C47" s="165">
        <v>0</v>
      </c>
      <c r="D47" s="165">
        <v>2167</v>
      </c>
      <c r="E47" s="165">
        <v>4084</v>
      </c>
      <c r="F47" s="165">
        <v>3985</v>
      </c>
      <c r="G47" s="165">
        <v>3969</v>
      </c>
      <c r="H47" s="165">
        <v>3539</v>
      </c>
      <c r="I47" s="166">
        <f t="shared" si="5"/>
        <v>-0.10833963214915598</v>
      </c>
      <c r="J47" s="166">
        <f>H47/H39</f>
        <v>3.0205523881055615E-2</v>
      </c>
    </row>
    <row r="48" spans="2:10" x14ac:dyDescent="0.25">
      <c r="B48" s="164" t="s">
        <v>121</v>
      </c>
      <c r="C48" s="165">
        <v>0</v>
      </c>
      <c r="D48" s="165">
        <v>1266</v>
      </c>
      <c r="E48" s="165">
        <v>2511</v>
      </c>
      <c r="F48" s="165">
        <v>2974</v>
      </c>
      <c r="G48" s="165">
        <v>2680</v>
      </c>
      <c r="H48" s="165">
        <v>2876</v>
      </c>
      <c r="I48" s="166">
        <f t="shared" si="5"/>
        <v>7.3134328358208878E-2</v>
      </c>
      <c r="J48" s="166">
        <f>H48/H39</f>
        <v>2.4546789116110752E-2</v>
      </c>
    </row>
    <row r="49" spans="2:10" x14ac:dyDescent="0.25">
      <c r="B49" s="164" t="s">
        <v>130</v>
      </c>
      <c r="C49" s="165">
        <v>0</v>
      </c>
      <c r="D49" s="165">
        <v>197</v>
      </c>
      <c r="E49" s="165">
        <v>320</v>
      </c>
      <c r="F49" s="165">
        <v>529</v>
      </c>
      <c r="G49" s="165">
        <v>371</v>
      </c>
      <c r="H49" s="165">
        <v>365</v>
      </c>
      <c r="I49" s="166">
        <f t="shared" si="5"/>
        <v>-1.6172506738544423E-2</v>
      </c>
      <c r="J49" s="166">
        <f>H49/H39</f>
        <v>3.1152913864326928E-3</v>
      </c>
    </row>
    <row r="50" spans="2:10" x14ac:dyDescent="0.25">
      <c r="B50" s="164" t="s">
        <v>133</v>
      </c>
      <c r="C50" s="165">
        <v>0</v>
      </c>
      <c r="D50" s="165">
        <v>26</v>
      </c>
      <c r="E50" s="165">
        <v>149</v>
      </c>
      <c r="F50" s="165">
        <v>259</v>
      </c>
      <c r="G50" s="165">
        <v>120</v>
      </c>
      <c r="H50" s="165">
        <v>129</v>
      </c>
      <c r="I50" s="166">
        <f t="shared" si="5"/>
        <v>7.4999999999999956E-2</v>
      </c>
      <c r="J50" s="166">
        <f>H50/H39</f>
        <v>1.1010207913693627E-3</v>
      </c>
    </row>
    <row r="51" spans="2:10" x14ac:dyDescent="0.25">
      <c r="B51" s="169" t="s">
        <v>147</v>
      </c>
      <c r="C51" s="170">
        <f t="shared" ref="C51:H51" si="6">C43-SUM(C44:C50)</f>
        <v>0</v>
      </c>
      <c r="D51" s="170">
        <f t="shared" si="6"/>
        <v>7767</v>
      </c>
      <c r="E51" s="170">
        <f t="shared" si="6"/>
        <v>22328</v>
      </c>
      <c r="F51" s="170">
        <f t="shared" si="6"/>
        <v>24031</v>
      </c>
      <c r="G51" s="170">
        <f t="shared" si="6"/>
        <v>25103</v>
      </c>
      <c r="H51" s="170">
        <f t="shared" si="6"/>
        <v>27865</v>
      </c>
      <c r="I51" s="171">
        <f t="shared" si="5"/>
        <v>0.11002669003704746</v>
      </c>
      <c r="J51" s="171">
        <f>H51/H39</f>
        <v>0.23782902598067665</v>
      </c>
    </row>
    <row r="52" spans="2:10" x14ac:dyDescent="0.25">
      <c r="B52" s="156" t="s">
        <v>48</v>
      </c>
      <c r="C52" s="175"/>
      <c r="D52" s="175"/>
      <c r="E52" s="175"/>
      <c r="F52" s="175"/>
      <c r="G52" s="175"/>
      <c r="H52" s="175"/>
      <c r="I52" s="176"/>
      <c r="J52" s="176"/>
    </row>
    <row r="53" spans="2:10" x14ac:dyDescent="0.25">
      <c r="B53" s="157" t="s">
        <v>70</v>
      </c>
      <c r="C53" s="177">
        <v>0</v>
      </c>
      <c r="D53" s="177">
        <v>1595</v>
      </c>
      <c r="E53" s="177">
        <v>2523</v>
      </c>
      <c r="F53" s="177">
        <v>3080</v>
      </c>
      <c r="G53" s="177">
        <v>2377</v>
      </c>
      <c r="H53" s="177">
        <v>3338</v>
      </c>
      <c r="I53" s="178">
        <f t="shared" ref="I53:I65" si="7">IFERROR(H53/G53-1,"-")</f>
        <v>0.40429112326461936</v>
      </c>
      <c r="J53" s="178">
        <f>H53/H53</f>
        <v>1</v>
      </c>
    </row>
    <row r="54" spans="2:10" x14ac:dyDescent="0.25">
      <c r="B54" s="160" t="s">
        <v>99</v>
      </c>
      <c r="C54" s="161">
        <v>0</v>
      </c>
      <c r="D54" s="161">
        <v>715</v>
      </c>
      <c r="E54" s="161">
        <v>533</v>
      </c>
      <c r="F54" s="161">
        <v>1450</v>
      </c>
      <c r="G54" s="161">
        <v>646</v>
      </c>
      <c r="H54" s="161">
        <v>908</v>
      </c>
      <c r="I54" s="162">
        <f t="shared" si="7"/>
        <v>0.40557275541795668</v>
      </c>
      <c r="J54" s="162">
        <f>H54/H53</f>
        <v>0.2720191731575794</v>
      </c>
    </row>
    <row r="55" spans="2:10" x14ac:dyDescent="0.25">
      <c r="B55" s="164" t="s">
        <v>105</v>
      </c>
      <c r="C55" s="165">
        <v>0</v>
      </c>
      <c r="D55" s="165">
        <v>376</v>
      </c>
      <c r="E55" s="165">
        <v>295</v>
      </c>
      <c r="F55" s="165">
        <v>1076</v>
      </c>
      <c r="G55" s="165">
        <v>363</v>
      </c>
      <c r="H55" s="165">
        <v>659</v>
      </c>
      <c r="I55" s="166">
        <f t="shared" si="7"/>
        <v>0.81542699724517909</v>
      </c>
      <c r="J55" s="166">
        <f>H55/H53</f>
        <v>0.19742360695026961</v>
      </c>
    </row>
    <row r="56" spans="2:10" x14ac:dyDescent="0.25">
      <c r="B56" s="164" t="s">
        <v>102</v>
      </c>
      <c r="C56" s="165">
        <v>0</v>
      </c>
      <c r="D56" s="165">
        <v>339</v>
      </c>
      <c r="E56" s="165">
        <v>238</v>
      </c>
      <c r="F56" s="165">
        <v>374</v>
      </c>
      <c r="G56" s="165">
        <v>283</v>
      </c>
      <c r="H56" s="165">
        <v>249</v>
      </c>
      <c r="I56" s="166">
        <f t="shared" si="7"/>
        <v>-0.12014134275618371</v>
      </c>
      <c r="J56" s="166">
        <f>H56/H53</f>
        <v>7.4595566207309769E-2</v>
      </c>
    </row>
    <row r="57" spans="2:10" x14ac:dyDescent="0.25">
      <c r="B57" s="160" t="s">
        <v>109</v>
      </c>
      <c r="C57" s="161">
        <v>0</v>
      </c>
      <c r="D57" s="161">
        <v>880</v>
      </c>
      <c r="E57" s="161">
        <v>1990</v>
      </c>
      <c r="F57" s="161">
        <v>1630</v>
      </c>
      <c r="G57" s="161">
        <v>1731</v>
      </c>
      <c r="H57" s="161">
        <v>2430</v>
      </c>
      <c r="I57" s="162">
        <f t="shared" si="7"/>
        <v>0.40381282495667237</v>
      </c>
      <c r="J57" s="162">
        <f>H57/H53</f>
        <v>0.7279808268424206</v>
      </c>
    </row>
    <row r="58" spans="2:10" x14ac:dyDescent="0.25">
      <c r="B58" s="164" t="s">
        <v>112</v>
      </c>
      <c r="C58" s="165">
        <v>0</v>
      </c>
      <c r="D58" s="165">
        <v>38</v>
      </c>
      <c r="E58" s="165">
        <v>911</v>
      </c>
      <c r="F58" s="165">
        <v>741</v>
      </c>
      <c r="G58" s="165">
        <v>1203</v>
      </c>
      <c r="H58" s="165">
        <v>953</v>
      </c>
      <c r="I58" s="166">
        <f t="shared" si="7"/>
        <v>-0.20781379883624274</v>
      </c>
      <c r="J58" s="166">
        <f>H58/H53</f>
        <v>0.2855002995805872</v>
      </c>
    </row>
    <row r="59" spans="2:10" x14ac:dyDescent="0.25">
      <c r="B59" s="164" t="s">
        <v>115</v>
      </c>
      <c r="C59" s="165">
        <v>0</v>
      </c>
      <c r="D59" s="165">
        <v>302</v>
      </c>
      <c r="E59" s="165">
        <v>307</v>
      </c>
      <c r="F59" s="165">
        <v>224</v>
      </c>
      <c r="G59" s="165">
        <v>139</v>
      </c>
      <c r="H59" s="165">
        <v>394</v>
      </c>
      <c r="I59" s="166">
        <f t="shared" si="7"/>
        <v>1.8345323741007196</v>
      </c>
      <c r="J59" s="166">
        <f>H59/H53</f>
        <v>0.11803475134811264</v>
      </c>
    </row>
    <row r="60" spans="2:10" x14ac:dyDescent="0.25">
      <c r="B60" s="164" t="s">
        <v>118</v>
      </c>
      <c r="C60" s="165">
        <v>0</v>
      </c>
      <c r="D60" s="165">
        <v>172</v>
      </c>
      <c r="E60" s="165">
        <v>122</v>
      </c>
      <c r="F60" s="165">
        <v>125</v>
      </c>
      <c r="G60" s="165">
        <v>70</v>
      </c>
      <c r="H60" s="165">
        <v>190</v>
      </c>
      <c r="I60" s="166">
        <f t="shared" si="7"/>
        <v>1.7142857142857144</v>
      </c>
      <c r="J60" s="166">
        <f>H60/H53</f>
        <v>5.6920311563810666E-2</v>
      </c>
    </row>
    <row r="61" spans="2:10" x14ac:dyDescent="0.25">
      <c r="B61" s="164" t="s">
        <v>125</v>
      </c>
      <c r="C61" s="165">
        <v>0</v>
      </c>
      <c r="D61" s="165">
        <v>24</v>
      </c>
      <c r="E61" s="165">
        <v>45</v>
      </c>
      <c r="F61" s="165">
        <v>30</v>
      </c>
      <c r="G61" s="165">
        <v>13</v>
      </c>
      <c r="H61" s="165">
        <v>90</v>
      </c>
      <c r="I61" s="166">
        <f t="shared" si="7"/>
        <v>5.9230769230769234</v>
      </c>
      <c r="J61" s="166">
        <f>H61/H53</f>
        <v>2.696225284601558E-2</v>
      </c>
    </row>
    <row r="62" spans="2:10" x14ac:dyDescent="0.25">
      <c r="B62" s="164" t="s">
        <v>121</v>
      </c>
      <c r="C62" s="165">
        <v>0</v>
      </c>
      <c r="D62" s="165">
        <v>27</v>
      </c>
      <c r="E62" s="165">
        <v>41</v>
      </c>
      <c r="F62" s="165">
        <v>29</v>
      </c>
      <c r="G62" s="165">
        <v>7</v>
      </c>
      <c r="H62" s="165">
        <v>56</v>
      </c>
      <c r="I62" s="166">
        <f t="shared" si="7"/>
        <v>7</v>
      </c>
      <c r="J62" s="166">
        <f>H62/H53</f>
        <v>1.6776512881965248E-2</v>
      </c>
    </row>
    <row r="63" spans="2:10" x14ac:dyDescent="0.25">
      <c r="B63" s="164" t="s">
        <v>130</v>
      </c>
      <c r="C63" s="165">
        <v>0</v>
      </c>
      <c r="D63" s="165">
        <v>7</v>
      </c>
      <c r="E63" s="165">
        <v>0</v>
      </c>
      <c r="F63" s="165">
        <v>4</v>
      </c>
      <c r="G63" s="165">
        <v>0</v>
      </c>
      <c r="H63" s="165">
        <v>2</v>
      </c>
      <c r="I63" s="166" t="str">
        <f t="shared" si="7"/>
        <v>-</v>
      </c>
      <c r="J63" s="166">
        <f>H63/H53</f>
        <v>5.9916117435590175E-4</v>
      </c>
    </row>
    <row r="64" spans="2:10" x14ac:dyDescent="0.25">
      <c r="B64" s="164" t="s">
        <v>133</v>
      </c>
      <c r="C64" s="165">
        <v>0</v>
      </c>
      <c r="D64" s="165">
        <v>0</v>
      </c>
      <c r="E64" s="165">
        <v>1</v>
      </c>
      <c r="F64" s="165">
        <v>5</v>
      </c>
      <c r="G64" s="165">
        <v>1</v>
      </c>
      <c r="H64" s="165">
        <v>84</v>
      </c>
      <c r="I64" s="166">
        <f t="shared" si="7"/>
        <v>83</v>
      </c>
      <c r="J64" s="166">
        <f>H64/H53</f>
        <v>2.5164769322947873E-2</v>
      </c>
    </row>
    <row r="65" spans="2:10" x14ac:dyDescent="0.25">
      <c r="B65" s="169" t="s">
        <v>147</v>
      </c>
      <c r="C65" s="170">
        <f t="shared" ref="C65:H65" si="8">C57-SUM(C58:C64)</f>
        <v>0</v>
      </c>
      <c r="D65" s="170">
        <f t="shared" si="8"/>
        <v>310</v>
      </c>
      <c r="E65" s="170">
        <f t="shared" si="8"/>
        <v>563</v>
      </c>
      <c r="F65" s="170">
        <f t="shared" si="8"/>
        <v>472</v>
      </c>
      <c r="G65" s="170">
        <f t="shared" si="8"/>
        <v>298</v>
      </c>
      <c r="H65" s="170">
        <f t="shared" si="8"/>
        <v>661</v>
      </c>
      <c r="I65" s="171">
        <f t="shared" si="7"/>
        <v>1.2181208053691277</v>
      </c>
      <c r="J65" s="171">
        <f>H65/H53</f>
        <v>0.19802276812462552</v>
      </c>
    </row>
    <row r="66" spans="2:10" x14ac:dyDescent="0.25">
      <c r="B66" s="156" t="s">
        <v>49</v>
      </c>
      <c r="C66" s="175"/>
      <c r="D66" s="175"/>
      <c r="E66" s="175"/>
      <c r="F66" s="175"/>
      <c r="G66" s="175"/>
      <c r="H66" s="175"/>
      <c r="I66" s="176"/>
      <c r="J66" s="176"/>
    </row>
    <row r="67" spans="2:10" x14ac:dyDescent="0.25">
      <c r="B67" s="157" t="s">
        <v>70</v>
      </c>
      <c r="C67" s="177">
        <v>0</v>
      </c>
      <c r="D67" s="177">
        <v>3302</v>
      </c>
      <c r="E67" s="177">
        <v>10420</v>
      </c>
      <c r="F67" s="177">
        <v>14934</v>
      </c>
      <c r="G67" s="177">
        <v>16055</v>
      </c>
      <c r="H67" s="177">
        <v>16193</v>
      </c>
      <c r="I67" s="178">
        <f t="shared" ref="I67:I79" si="9">IFERROR(H67/G67-1,"-")</f>
        <v>8.595453129865982E-3</v>
      </c>
      <c r="J67" s="178">
        <f>H67/H67</f>
        <v>1</v>
      </c>
    </row>
    <row r="68" spans="2:10" x14ac:dyDescent="0.25">
      <c r="B68" s="160" t="s">
        <v>99</v>
      </c>
      <c r="C68" s="161">
        <v>0</v>
      </c>
      <c r="D68" s="161">
        <v>2010</v>
      </c>
      <c r="E68" s="161">
        <v>2355</v>
      </c>
      <c r="F68" s="161">
        <v>8383</v>
      </c>
      <c r="G68" s="161">
        <v>7136</v>
      </c>
      <c r="H68" s="161">
        <v>5852</v>
      </c>
      <c r="I68" s="162">
        <f t="shared" si="9"/>
        <v>-0.17993273542600896</v>
      </c>
      <c r="J68" s="162">
        <f>H68/H67</f>
        <v>0.36139072438708086</v>
      </c>
    </row>
    <row r="69" spans="2:10" x14ac:dyDescent="0.25">
      <c r="B69" s="164" t="s">
        <v>105</v>
      </c>
      <c r="C69" s="165">
        <v>0</v>
      </c>
      <c r="D69" s="165">
        <v>1799</v>
      </c>
      <c r="E69" s="165">
        <v>2161</v>
      </c>
      <c r="F69" s="165">
        <v>6727</v>
      </c>
      <c r="G69" s="165">
        <v>5618</v>
      </c>
      <c r="H69" s="165">
        <v>2444</v>
      </c>
      <c r="I69" s="166">
        <f t="shared" si="9"/>
        <v>-0.56496974012103951</v>
      </c>
      <c r="J69" s="166">
        <f>H69/H67</f>
        <v>0.15092941394429693</v>
      </c>
    </row>
    <row r="70" spans="2:10" x14ac:dyDescent="0.25">
      <c r="B70" s="164" t="s">
        <v>102</v>
      </c>
      <c r="C70" s="165">
        <v>0</v>
      </c>
      <c r="D70" s="165">
        <v>211</v>
      </c>
      <c r="E70" s="165">
        <v>194</v>
      </c>
      <c r="F70" s="165">
        <v>1656</v>
      </c>
      <c r="G70" s="165">
        <v>1518</v>
      </c>
      <c r="H70" s="165">
        <v>3408</v>
      </c>
      <c r="I70" s="166">
        <f t="shared" si="9"/>
        <v>1.2450592885375493</v>
      </c>
      <c r="J70" s="166">
        <f>H70/H67</f>
        <v>0.21046131044278391</v>
      </c>
    </row>
    <row r="71" spans="2:10" x14ac:dyDescent="0.25">
      <c r="B71" s="160" t="s">
        <v>109</v>
      </c>
      <c r="C71" s="161">
        <v>0</v>
      </c>
      <c r="D71" s="161">
        <v>1292</v>
      </c>
      <c r="E71" s="161">
        <v>8065</v>
      </c>
      <c r="F71" s="161">
        <v>6551</v>
      </c>
      <c r="G71" s="161">
        <v>8919</v>
      </c>
      <c r="H71" s="161">
        <v>10341</v>
      </c>
      <c r="I71" s="162">
        <f t="shared" si="9"/>
        <v>0.15943491422805245</v>
      </c>
      <c r="J71" s="162">
        <f>H71/H67</f>
        <v>0.63860927561291914</v>
      </c>
    </row>
    <row r="72" spans="2:10" x14ac:dyDescent="0.25">
      <c r="B72" s="164" t="s">
        <v>112</v>
      </c>
      <c r="C72" s="165">
        <v>0</v>
      </c>
      <c r="D72" s="165">
        <v>286</v>
      </c>
      <c r="E72" s="165">
        <v>3282</v>
      </c>
      <c r="F72" s="165">
        <v>1493</v>
      </c>
      <c r="G72" s="165">
        <v>4643</v>
      </c>
      <c r="H72" s="165">
        <v>5896</v>
      </c>
      <c r="I72" s="166">
        <f t="shared" si="9"/>
        <v>0.2698686194270945</v>
      </c>
      <c r="J72" s="166">
        <f>H72/H67</f>
        <v>0.36410794787871303</v>
      </c>
    </row>
    <row r="73" spans="2:10" x14ac:dyDescent="0.25">
      <c r="B73" s="164" t="s">
        <v>115</v>
      </c>
      <c r="C73" s="165">
        <v>0</v>
      </c>
      <c r="D73" s="165">
        <v>79</v>
      </c>
      <c r="E73" s="165">
        <v>638</v>
      </c>
      <c r="F73" s="165">
        <v>1689</v>
      </c>
      <c r="G73" s="165">
        <v>448</v>
      </c>
      <c r="H73" s="165">
        <v>623</v>
      </c>
      <c r="I73" s="166">
        <f t="shared" si="9"/>
        <v>0.390625</v>
      </c>
      <c r="J73" s="166">
        <f>H73/H67</f>
        <v>3.8473414438337551E-2</v>
      </c>
    </row>
    <row r="74" spans="2:10" x14ac:dyDescent="0.25">
      <c r="B74" s="164" t="s">
        <v>118</v>
      </c>
      <c r="C74" s="165">
        <v>0</v>
      </c>
      <c r="D74" s="165">
        <v>197</v>
      </c>
      <c r="E74" s="165">
        <v>711</v>
      </c>
      <c r="F74" s="165">
        <v>440</v>
      </c>
      <c r="G74" s="165">
        <v>401</v>
      </c>
      <c r="H74" s="165">
        <v>786</v>
      </c>
      <c r="I74" s="166">
        <f t="shared" si="9"/>
        <v>0.96009975062344144</v>
      </c>
      <c r="J74" s="166">
        <f>H74/H67</f>
        <v>4.85394923732477E-2</v>
      </c>
    </row>
    <row r="75" spans="2:10" x14ac:dyDescent="0.25">
      <c r="B75" s="164" t="s">
        <v>125</v>
      </c>
      <c r="C75" s="165">
        <v>0</v>
      </c>
      <c r="D75" s="165">
        <v>237</v>
      </c>
      <c r="E75" s="165">
        <v>186</v>
      </c>
      <c r="F75" s="165">
        <v>119</v>
      </c>
      <c r="G75" s="165">
        <v>218</v>
      </c>
      <c r="H75" s="165">
        <v>303</v>
      </c>
      <c r="I75" s="166">
        <f t="shared" si="9"/>
        <v>0.38990825688073394</v>
      </c>
      <c r="J75" s="166">
        <f>H75/H67</f>
        <v>1.8711789044648923E-2</v>
      </c>
    </row>
    <row r="76" spans="2:10" x14ac:dyDescent="0.25">
      <c r="B76" s="164" t="s">
        <v>121</v>
      </c>
      <c r="C76" s="165">
        <v>0</v>
      </c>
      <c r="D76" s="165">
        <v>61</v>
      </c>
      <c r="E76" s="165">
        <v>166</v>
      </c>
      <c r="F76" s="165">
        <v>98</v>
      </c>
      <c r="G76" s="165">
        <v>130</v>
      </c>
      <c r="H76" s="165">
        <v>192</v>
      </c>
      <c r="I76" s="166">
        <f t="shared" si="9"/>
        <v>0.47692307692307701</v>
      </c>
      <c r="J76" s="166">
        <f>H76/H67</f>
        <v>1.1856975236213178E-2</v>
      </c>
    </row>
    <row r="77" spans="2:10" x14ac:dyDescent="0.25">
      <c r="B77" s="164" t="s">
        <v>130</v>
      </c>
      <c r="C77" s="165">
        <v>0</v>
      </c>
      <c r="D77" s="165">
        <v>0</v>
      </c>
      <c r="E77" s="165">
        <v>39</v>
      </c>
      <c r="F77" s="165">
        <v>0</v>
      </c>
      <c r="G77" s="165">
        <v>4</v>
      </c>
      <c r="H77" s="165">
        <v>13</v>
      </c>
      <c r="I77" s="166">
        <f t="shared" si="9"/>
        <v>2.25</v>
      </c>
      <c r="J77" s="166">
        <f>H77/H67</f>
        <v>8.0281603161860067E-4</v>
      </c>
    </row>
    <row r="78" spans="2:10" x14ac:dyDescent="0.25">
      <c r="B78" s="164" t="s">
        <v>133</v>
      </c>
      <c r="C78" s="165">
        <v>0</v>
      </c>
      <c r="D78" s="165">
        <v>0</v>
      </c>
      <c r="E78" s="165">
        <v>87</v>
      </c>
      <c r="F78" s="165">
        <v>2</v>
      </c>
      <c r="G78" s="165">
        <v>1</v>
      </c>
      <c r="H78" s="165">
        <v>49</v>
      </c>
      <c r="I78" s="166">
        <f t="shared" si="9"/>
        <v>48</v>
      </c>
      <c r="J78" s="166">
        <f>H78/H67</f>
        <v>3.0259988884085718E-3</v>
      </c>
    </row>
    <row r="79" spans="2:10" x14ac:dyDescent="0.25">
      <c r="B79" s="169" t="s">
        <v>147</v>
      </c>
      <c r="C79" s="170">
        <f t="shared" ref="C79:H79" si="10">C71-SUM(C72:C78)</f>
        <v>0</v>
      </c>
      <c r="D79" s="170">
        <f t="shared" si="10"/>
        <v>432</v>
      </c>
      <c r="E79" s="170">
        <f t="shared" si="10"/>
        <v>2956</v>
      </c>
      <c r="F79" s="170">
        <f t="shared" si="10"/>
        <v>2710</v>
      </c>
      <c r="G79" s="170">
        <f t="shared" si="10"/>
        <v>3074</v>
      </c>
      <c r="H79" s="170">
        <f t="shared" si="10"/>
        <v>2479</v>
      </c>
      <c r="I79" s="171">
        <f t="shared" si="9"/>
        <v>-0.19355888093689</v>
      </c>
      <c r="J79" s="171">
        <f>H79/H67</f>
        <v>0.15309084172173162</v>
      </c>
    </row>
    <row r="80" spans="2:10" x14ac:dyDescent="0.25">
      <c r="B80" s="156" t="s">
        <v>50</v>
      </c>
      <c r="C80" s="175"/>
      <c r="D80" s="175"/>
      <c r="E80" s="175"/>
      <c r="F80" s="175"/>
      <c r="G80" s="175"/>
      <c r="H80" s="175"/>
      <c r="I80" s="176"/>
      <c r="J80" s="176"/>
    </row>
    <row r="81" spans="2:10" x14ac:dyDescent="0.25">
      <c r="B81" s="157" t="s">
        <v>70</v>
      </c>
      <c r="C81" s="177">
        <v>0</v>
      </c>
      <c r="D81" s="177">
        <v>25023</v>
      </c>
      <c r="E81" s="177">
        <v>63207</v>
      </c>
      <c r="F81" s="177">
        <v>71344</v>
      </c>
      <c r="G81" s="177">
        <v>83393</v>
      </c>
      <c r="H81" s="177">
        <v>77257</v>
      </c>
      <c r="I81" s="178">
        <f t="shared" ref="I81:I93" si="11">IFERROR(H81/G81-1,"-")</f>
        <v>-7.3579317208878448E-2</v>
      </c>
      <c r="J81" s="178">
        <f>H81/H81</f>
        <v>1</v>
      </c>
    </row>
    <row r="82" spans="2:10" x14ac:dyDescent="0.25">
      <c r="B82" s="160" t="s">
        <v>99</v>
      </c>
      <c r="C82" s="161">
        <v>0</v>
      </c>
      <c r="D82" s="161">
        <v>16084</v>
      </c>
      <c r="E82" s="161">
        <v>38004</v>
      </c>
      <c r="F82" s="161">
        <v>41665</v>
      </c>
      <c r="G82" s="161">
        <v>44993</v>
      </c>
      <c r="H82" s="161">
        <v>41210</v>
      </c>
      <c r="I82" s="162">
        <f t="shared" si="11"/>
        <v>-8.4079745738225964E-2</v>
      </c>
      <c r="J82" s="162">
        <f>H82/H81</f>
        <v>0.5334144478817453</v>
      </c>
    </row>
    <row r="83" spans="2:10" x14ac:dyDescent="0.25">
      <c r="B83" s="164" t="s">
        <v>105</v>
      </c>
      <c r="C83" s="165">
        <v>0</v>
      </c>
      <c r="D83" s="165">
        <v>6390</v>
      </c>
      <c r="E83" s="165">
        <v>8842</v>
      </c>
      <c r="F83" s="165">
        <v>12926</v>
      </c>
      <c r="G83" s="165">
        <v>15406</v>
      </c>
      <c r="H83" s="165">
        <v>9716</v>
      </c>
      <c r="I83" s="166">
        <f t="shared" si="11"/>
        <v>-0.3693366220952875</v>
      </c>
      <c r="J83" s="166">
        <f>H83/H81</f>
        <v>0.1257620668677272</v>
      </c>
    </row>
    <row r="84" spans="2:10" x14ac:dyDescent="0.25">
      <c r="B84" s="164" t="s">
        <v>102</v>
      </c>
      <c r="C84" s="165">
        <v>0</v>
      </c>
      <c r="D84" s="165">
        <v>9694</v>
      </c>
      <c r="E84" s="165">
        <v>29162</v>
      </c>
      <c r="F84" s="165">
        <v>28739</v>
      </c>
      <c r="G84" s="165">
        <v>29587</v>
      </c>
      <c r="H84" s="165">
        <v>31494</v>
      </c>
      <c r="I84" s="166">
        <f t="shared" si="11"/>
        <v>6.4453983168283324E-2</v>
      </c>
      <c r="J84" s="166">
        <f>H84/H81</f>
        <v>0.40765238101401813</v>
      </c>
    </row>
    <row r="85" spans="2:10" x14ac:dyDescent="0.25">
      <c r="B85" s="160" t="s">
        <v>109</v>
      </c>
      <c r="C85" s="161">
        <v>0</v>
      </c>
      <c r="D85" s="161">
        <v>8939</v>
      </c>
      <c r="E85" s="161">
        <v>25203</v>
      </c>
      <c r="F85" s="161">
        <v>29679</v>
      </c>
      <c r="G85" s="161">
        <v>38400</v>
      </c>
      <c r="H85" s="161">
        <v>36047</v>
      </c>
      <c r="I85" s="162">
        <f t="shared" si="11"/>
        <v>-6.127604166666667E-2</v>
      </c>
      <c r="J85" s="162">
        <f>H85/H81</f>
        <v>0.46658555211825464</v>
      </c>
    </row>
    <row r="86" spans="2:10" x14ac:dyDescent="0.25">
      <c r="B86" s="164" t="s">
        <v>112</v>
      </c>
      <c r="C86" s="165">
        <v>0</v>
      </c>
      <c r="D86" s="165">
        <v>665</v>
      </c>
      <c r="E86" s="165">
        <v>6003</v>
      </c>
      <c r="F86" s="165">
        <v>6492</v>
      </c>
      <c r="G86" s="165">
        <v>8890</v>
      </c>
      <c r="H86" s="165">
        <v>8545</v>
      </c>
      <c r="I86" s="166">
        <f t="shared" si="11"/>
        <v>-3.8807649043869463E-2</v>
      </c>
      <c r="J86" s="166">
        <f>H86/H81</f>
        <v>0.11060486428414254</v>
      </c>
    </row>
    <row r="87" spans="2:10" x14ac:dyDescent="0.25">
      <c r="B87" s="164" t="s">
        <v>115</v>
      </c>
      <c r="C87" s="165">
        <v>0</v>
      </c>
      <c r="D87" s="165">
        <v>2166</v>
      </c>
      <c r="E87" s="165">
        <v>7897</v>
      </c>
      <c r="F87" s="165">
        <v>7571</v>
      </c>
      <c r="G87" s="165">
        <v>8315</v>
      </c>
      <c r="H87" s="165">
        <v>8565</v>
      </c>
      <c r="I87" s="166">
        <f t="shared" si="11"/>
        <v>3.0066145520144305E-2</v>
      </c>
      <c r="J87" s="166">
        <f>H87/H81</f>
        <v>0.11086374050247874</v>
      </c>
    </row>
    <row r="88" spans="2:10" x14ac:dyDescent="0.25">
      <c r="B88" s="164" t="s">
        <v>118</v>
      </c>
      <c r="C88" s="165">
        <v>0</v>
      </c>
      <c r="D88" s="165">
        <v>1182</v>
      </c>
      <c r="E88" s="165">
        <v>1777</v>
      </c>
      <c r="F88" s="165">
        <v>2564</v>
      </c>
      <c r="G88" s="165">
        <v>5187</v>
      </c>
      <c r="H88" s="165">
        <v>3585</v>
      </c>
      <c r="I88" s="166">
        <f t="shared" si="11"/>
        <v>-0.3088490456911509</v>
      </c>
      <c r="J88" s="166">
        <f>H88/H81</f>
        <v>4.6403562136764304E-2</v>
      </c>
    </row>
    <row r="89" spans="2:10" x14ac:dyDescent="0.25">
      <c r="B89" s="164" t="s">
        <v>125</v>
      </c>
      <c r="C89" s="165">
        <v>0</v>
      </c>
      <c r="D89" s="165">
        <v>244</v>
      </c>
      <c r="E89" s="165">
        <v>536</v>
      </c>
      <c r="F89" s="165">
        <v>895</v>
      </c>
      <c r="G89" s="165">
        <v>1467</v>
      </c>
      <c r="H89" s="165">
        <v>879</v>
      </c>
      <c r="I89" s="166">
        <f t="shared" si="11"/>
        <v>-0.40081799591002043</v>
      </c>
      <c r="J89" s="166">
        <f>H89/H81</f>
        <v>1.1377609795876101E-2</v>
      </c>
    </row>
    <row r="90" spans="2:10" x14ac:dyDescent="0.25">
      <c r="B90" s="164" t="s">
        <v>121</v>
      </c>
      <c r="C90" s="165">
        <v>0</v>
      </c>
      <c r="D90" s="165">
        <v>260</v>
      </c>
      <c r="E90" s="165">
        <v>399</v>
      </c>
      <c r="F90" s="165">
        <v>397</v>
      </c>
      <c r="G90" s="165">
        <v>702</v>
      </c>
      <c r="H90" s="165">
        <v>603</v>
      </c>
      <c r="I90" s="166">
        <f t="shared" si="11"/>
        <v>-0.14102564102564108</v>
      </c>
      <c r="J90" s="166">
        <f>H90/H81</f>
        <v>7.8051179828365069E-3</v>
      </c>
    </row>
    <row r="91" spans="2:10" x14ac:dyDescent="0.25">
      <c r="B91" s="164" t="s">
        <v>130</v>
      </c>
      <c r="C91" s="165">
        <v>0</v>
      </c>
      <c r="D91" s="165">
        <v>21</v>
      </c>
      <c r="E91" s="165">
        <v>102</v>
      </c>
      <c r="F91" s="165">
        <v>160</v>
      </c>
      <c r="G91" s="165">
        <v>128</v>
      </c>
      <c r="H91" s="165">
        <v>131</v>
      </c>
      <c r="I91" s="166">
        <f t="shared" si="11"/>
        <v>2.34375E-2</v>
      </c>
      <c r="J91" s="166">
        <f>H91/H81</f>
        <v>1.6956392301021267E-3</v>
      </c>
    </row>
    <row r="92" spans="2:10" x14ac:dyDescent="0.25">
      <c r="B92" s="164" t="s">
        <v>133</v>
      </c>
      <c r="C92" s="165">
        <v>0</v>
      </c>
      <c r="D92" s="165">
        <v>43</v>
      </c>
      <c r="E92" s="165">
        <v>75</v>
      </c>
      <c r="F92" s="165">
        <v>147</v>
      </c>
      <c r="G92" s="165">
        <v>119</v>
      </c>
      <c r="H92" s="165">
        <v>63</v>
      </c>
      <c r="I92" s="166">
        <f t="shared" si="11"/>
        <v>-0.47058823529411764</v>
      </c>
      <c r="J92" s="166">
        <f>H92/H81</f>
        <v>8.1546008775903805E-4</v>
      </c>
    </row>
    <row r="93" spans="2:10" x14ac:dyDescent="0.25">
      <c r="B93" s="169" t="s">
        <v>147</v>
      </c>
      <c r="C93" s="170">
        <f t="shared" ref="C93:H93" si="12">C85-SUM(C86:C92)</f>
        <v>0</v>
      </c>
      <c r="D93" s="170">
        <f t="shared" si="12"/>
        <v>4358</v>
      </c>
      <c r="E93" s="170">
        <f t="shared" si="12"/>
        <v>8414</v>
      </c>
      <c r="F93" s="170">
        <f t="shared" si="12"/>
        <v>11453</v>
      </c>
      <c r="G93" s="170">
        <f t="shared" si="12"/>
        <v>13592</v>
      </c>
      <c r="H93" s="170">
        <f t="shared" si="12"/>
        <v>13676</v>
      </c>
      <c r="I93" s="171">
        <f t="shared" si="11"/>
        <v>6.1801059446733309E-3</v>
      </c>
      <c r="J93" s="171">
        <f>H93/H81</f>
        <v>0.17701955809829531</v>
      </c>
    </row>
    <row r="94" spans="2:10" x14ac:dyDescent="0.25">
      <c r="B94" s="156" t="s">
        <v>51</v>
      </c>
      <c r="C94" s="175"/>
      <c r="D94" s="175"/>
      <c r="E94" s="175"/>
      <c r="F94" s="175"/>
      <c r="G94" s="175"/>
      <c r="H94" s="175"/>
      <c r="I94" s="176"/>
      <c r="J94" s="176"/>
    </row>
    <row r="95" spans="2:10" x14ac:dyDescent="0.25">
      <c r="B95" s="157" t="s">
        <v>70</v>
      </c>
      <c r="C95" s="177">
        <v>0</v>
      </c>
      <c r="D95" s="177">
        <v>2494</v>
      </c>
      <c r="E95" s="177">
        <v>4520</v>
      </c>
      <c r="F95" s="177">
        <v>4181</v>
      </c>
      <c r="G95" s="177">
        <v>3964</v>
      </c>
      <c r="H95" s="177">
        <v>4119</v>
      </c>
      <c r="I95" s="178">
        <f t="shared" ref="I95:I107" si="13">IFERROR(H95/G95-1,"-")</f>
        <v>3.9101917255297769E-2</v>
      </c>
      <c r="J95" s="178">
        <f>H95/H95</f>
        <v>1</v>
      </c>
    </row>
    <row r="96" spans="2:10" x14ac:dyDescent="0.25">
      <c r="B96" s="160" t="s">
        <v>99</v>
      </c>
      <c r="C96" s="161">
        <v>0</v>
      </c>
      <c r="D96" s="161">
        <v>1915</v>
      </c>
      <c r="E96" s="161">
        <v>3580</v>
      </c>
      <c r="F96" s="161">
        <v>3284</v>
      </c>
      <c r="G96" s="161">
        <v>3008</v>
      </c>
      <c r="H96" s="161">
        <v>3117</v>
      </c>
      <c r="I96" s="162">
        <f t="shared" si="13"/>
        <v>3.6236702127659504E-2</v>
      </c>
      <c r="J96" s="162">
        <f>H96/H95</f>
        <v>0.75673707210487984</v>
      </c>
    </row>
    <row r="97" spans="2:10" x14ac:dyDescent="0.25">
      <c r="B97" s="164" t="s">
        <v>105</v>
      </c>
      <c r="C97" s="165">
        <v>0</v>
      </c>
      <c r="D97" s="165">
        <v>1100</v>
      </c>
      <c r="E97" s="165">
        <v>1851</v>
      </c>
      <c r="F97" s="165">
        <v>818</v>
      </c>
      <c r="G97" s="165">
        <v>716</v>
      </c>
      <c r="H97" s="165">
        <v>1022</v>
      </c>
      <c r="I97" s="166">
        <f t="shared" si="13"/>
        <v>0.42737430167597767</v>
      </c>
      <c r="J97" s="166">
        <f>H97/H95</f>
        <v>0.24811847535809661</v>
      </c>
    </row>
    <row r="98" spans="2:10" x14ac:dyDescent="0.25">
      <c r="B98" s="164" t="s">
        <v>102</v>
      </c>
      <c r="C98" s="165">
        <v>0</v>
      </c>
      <c r="D98" s="165">
        <v>815</v>
      </c>
      <c r="E98" s="165">
        <v>1729</v>
      </c>
      <c r="F98" s="165">
        <v>2466</v>
      </c>
      <c r="G98" s="165">
        <v>2292</v>
      </c>
      <c r="H98" s="165">
        <v>2095</v>
      </c>
      <c r="I98" s="166">
        <f t="shared" si="13"/>
        <v>-8.5951134380453764E-2</v>
      </c>
      <c r="J98" s="166">
        <f>H98/H95</f>
        <v>0.50861859674678322</v>
      </c>
    </row>
    <row r="99" spans="2:10" x14ac:dyDescent="0.25">
      <c r="B99" s="160" t="s">
        <v>109</v>
      </c>
      <c r="C99" s="161">
        <v>0</v>
      </c>
      <c r="D99" s="161">
        <v>579</v>
      </c>
      <c r="E99" s="161">
        <v>940</v>
      </c>
      <c r="F99" s="161">
        <v>897</v>
      </c>
      <c r="G99" s="161">
        <v>956</v>
      </c>
      <c r="H99" s="161">
        <v>1002</v>
      </c>
      <c r="I99" s="162">
        <f t="shared" si="13"/>
        <v>4.8117154811715412E-2</v>
      </c>
      <c r="J99" s="162">
        <f>H99/H95</f>
        <v>0.24326292789512016</v>
      </c>
    </row>
    <row r="100" spans="2:10" x14ac:dyDescent="0.25">
      <c r="B100" s="164" t="s">
        <v>112</v>
      </c>
      <c r="C100" s="165">
        <v>0</v>
      </c>
      <c r="D100" s="165">
        <v>25</v>
      </c>
      <c r="E100" s="165">
        <v>120</v>
      </c>
      <c r="F100" s="165">
        <v>124</v>
      </c>
      <c r="G100" s="165">
        <v>100</v>
      </c>
      <c r="H100" s="165">
        <v>113</v>
      </c>
      <c r="I100" s="166">
        <f t="shared" si="13"/>
        <v>0.12999999999999989</v>
      </c>
      <c r="J100" s="166">
        <f>H100/H95</f>
        <v>2.7433843165816946E-2</v>
      </c>
    </row>
    <row r="101" spans="2:10" x14ac:dyDescent="0.25">
      <c r="B101" s="164" t="s">
        <v>115</v>
      </c>
      <c r="C101" s="165">
        <v>0</v>
      </c>
      <c r="D101" s="165">
        <v>106</v>
      </c>
      <c r="E101" s="165">
        <v>171</v>
      </c>
      <c r="F101" s="165">
        <v>128</v>
      </c>
      <c r="G101" s="165">
        <v>154</v>
      </c>
      <c r="H101" s="165">
        <v>117</v>
      </c>
      <c r="I101" s="166">
        <f t="shared" si="13"/>
        <v>-0.24025974025974028</v>
      </c>
      <c r="J101" s="166">
        <f>H101/H95</f>
        <v>2.8404952658412235E-2</v>
      </c>
    </row>
    <row r="102" spans="2:10" x14ac:dyDescent="0.25">
      <c r="B102" s="164" t="s">
        <v>118</v>
      </c>
      <c r="C102" s="165">
        <v>0</v>
      </c>
      <c r="D102" s="165">
        <v>162</v>
      </c>
      <c r="E102" s="165">
        <v>122</v>
      </c>
      <c r="F102" s="165">
        <v>150</v>
      </c>
      <c r="G102" s="165">
        <v>118</v>
      </c>
      <c r="H102" s="165">
        <v>138</v>
      </c>
      <c r="I102" s="166">
        <f t="shared" si="13"/>
        <v>0.16949152542372881</v>
      </c>
      <c r="J102" s="166">
        <f>H102/H95</f>
        <v>3.3503277494537506E-2</v>
      </c>
    </row>
    <row r="103" spans="2:10" x14ac:dyDescent="0.25">
      <c r="B103" s="164" t="s">
        <v>125</v>
      </c>
      <c r="C103" s="165">
        <v>0</v>
      </c>
      <c r="D103" s="165">
        <v>17</v>
      </c>
      <c r="E103" s="165">
        <v>85</v>
      </c>
      <c r="F103" s="165">
        <v>30</v>
      </c>
      <c r="G103" s="165">
        <v>36</v>
      </c>
      <c r="H103" s="165">
        <v>33</v>
      </c>
      <c r="I103" s="166">
        <f t="shared" si="13"/>
        <v>-8.333333333333337E-2</v>
      </c>
      <c r="J103" s="166">
        <f>H103/H95</f>
        <v>8.0116533139111441E-3</v>
      </c>
    </row>
    <row r="104" spans="2:10" x14ac:dyDescent="0.25">
      <c r="B104" s="164" t="s">
        <v>121</v>
      </c>
      <c r="C104" s="165">
        <v>0</v>
      </c>
      <c r="D104" s="165">
        <v>25</v>
      </c>
      <c r="E104" s="165">
        <v>31</v>
      </c>
      <c r="F104" s="165">
        <v>32</v>
      </c>
      <c r="G104" s="165">
        <v>19</v>
      </c>
      <c r="H104" s="165">
        <v>18</v>
      </c>
      <c r="I104" s="166">
        <f t="shared" si="13"/>
        <v>-5.2631578947368474E-2</v>
      </c>
      <c r="J104" s="166">
        <f>H104/H95</f>
        <v>4.3699927166788053E-3</v>
      </c>
    </row>
    <row r="105" spans="2:10" x14ac:dyDescent="0.25">
      <c r="B105" s="164" t="s">
        <v>130</v>
      </c>
      <c r="C105" s="165">
        <v>0</v>
      </c>
      <c r="D105" s="165">
        <v>0</v>
      </c>
      <c r="E105" s="165">
        <v>7</v>
      </c>
      <c r="F105" s="165">
        <v>2</v>
      </c>
      <c r="G105" s="165">
        <v>47</v>
      </c>
      <c r="H105" s="165">
        <v>2</v>
      </c>
      <c r="I105" s="166">
        <f t="shared" si="13"/>
        <v>-0.95744680851063835</v>
      </c>
      <c r="J105" s="166">
        <f>H105/H95</f>
        <v>4.8555474629764507E-4</v>
      </c>
    </row>
    <row r="106" spans="2:10" x14ac:dyDescent="0.25">
      <c r="B106" s="164" t="s">
        <v>133</v>
      </c>
      <c r="C106" s="165">
        <v>0</v>
      </c>
      <c r="D106" s="165">
        <v>5</v>
      </c>
      <c r="E106" s="165">
        <v>22</v>
      </c>
      <c r="F106" s="165">
        <v>9</v>
      </c>
      <c r="G106" s="165">
        <v>0</v>
      </c>
      <c r="H106" s="165">
        <v>4</v>
      </c>
      <c r="I106" s="166" t="str">
        <f t="shared" si="13"/>
        <v>-</v>
      </c>
      <c r="J106" s="166">
        <f>H106/H95</f>
        <v>9.7110949259529014E-4</v>
      </c>
    </row>
    <row r="107" spans="2:10" x14ac:dyDescent="0.25">
      <c r="B107" s="169" t="s">
        <v>147</v>
      </c>
      <c r="C107" s="170">
        <f t="shared" ref="C107:H107" si="14">C99-SUM(C100:C106)</f>
        <v>0</v>
      </c>
      <c r="D107" s="170">
        <f t="shared" si="14"/>
        <v>239</v>
      </c>
      <c r="E107" s="170">
        <f t="shared" si="14"/>
        <v>382</v>
      </c>
      <c r="F107" s="170">
        <f t="shared" si="14"/>
        <v>422</v>
      </c>
      <c r="G107" s="170">
        <f t="shared" si="14"/>
        <v>482</v>
      </c>
      <c r="H107" s="170">
        <f t="shared" si="14"/>
        <v>577</v>
      </c>
      <c r="I107" s="171">
        <f t="shared" si="13"/>
        <v>0.19709543568464727</v>
      </c>
      <c r="J107" s="171">
        <f>H107/H95</f>
        <v>0.14008254430687059</v>
      </c>
    </row>
    <row r="108" spans="2:10" x14ac:dyDescent="0.25">
      <c r="B108" s="156" t="s">
        <v>52</v>
      </c>
      <c r="C108" s="175"/>
      <c r="D108" s="175"/>
      <c r="E108" s="175"/>
      <c r="F108" s="175"/>
      <c r="G108" s="175"/>
      <c r="H108" s="175"/>
      <c r="I108" s="176"/>
      <c r="J108" s="176"/>
    </row>
    <row r="109" spans="2:10" x14ac:dyDescent="0.25">
      <c r="B109" s="157" t="s">
        <v>70</v>
      </c>
      <c r="C109" s="177">
        <v>0</v>
      </c>
      <c r="D109" s="177">
        <v>12758</v>
      </c>
      <c r="E109" s="177">
        <v>13606</v>
      </c>
      <c r="F109" s="177">
        <v>22097</v>
      </c>
      <c r="G109" s="177">
        <v>19721</v>
      </c>
      <c r="H109" s="177">
        <v>20354</v>
      </c>
      <c r="I109" s="178">
        <f t="shared" ref="I109:I121" si="15">IFERROR(H109/G109-1,"-")</f>
        <v>3.2097763805080781E-2</v>
      </c>
      <c r="J109" s="178">
        <f>H109/H109</f>
        <v>1</v>
      </c>
    </row>
    <row r="110" spans="2:10" x14ac:dyDescent="0.25">
      <c r="B110" s="160" t="s">
        <v>99</v>
      </c>
      <c r="C110" s="161">
        <v>0</v>
      </c>
      <c r="D110" s="161">
        <v>7593</v>
      </c>
      <c r="E110" s="161">
        <v>4013</v>
      </c>
      <c r="F110" s="161">
        <v>5372</v>
      </c>
      <c r="G110" s="161">
        <v>5322</v>
      </c>
      <c r="H110" s="161">
        <v>5416</v>
      </c>
      <c r="I110" s="162">
        <f t="shared" si="15"/>
        <v>1.7662532882374959E-2</v>
      </c>
      <c r="J110" s="162">
        <f>H110/H109</f>
        <v>0.26609020339982314</v>
      </c>
    </row>
    <row r="111" spans="2:10" x14ac:dyDescent="0.25">
      <c r="B111" s="164" t="s">
        <v>105</v>
      </c>
      <c r="C111" s="165">
        <v>0</v>
      </c>
      <c r="D111" s="165">
        <v>3386</v>
      </c>
      <c r="E111" s="165">
        <v>964</v>
      </c>
      <c r="F111" s="165">
        <v>2060</v>
      </c>
      <c r="G111" s="165">
        <v>2056</v>
      </c>
      <c r="H111" s="165">
        <v>2029</v>
      </c>
      <c r="I111" s="166">
        <f t="shared" si="15"/>
        <v>-1.3132295719844311E-2</v>
      </c>
      <c r="J111" s="166">
        <f>H111/H109</f>
        <v>9.9685565490812617E-2</v>
      </c>
    </row>
    <row r="112" spans="2:10" x14ac:dyDescent="0.25">
      <c r="B112" s="164" t="s">
        <v>102</v>
      </c>
      <c r="C112" s="165">
        <v>0</v>
      </c>
      <c r="D112" s="165">
        <v>4207</v>
      </c>
      <c r="E112" s="165">
        <v>3049</v>
      </c>
      <c r="F112" s="165">
        <v>3312</v>
      </c>
      <c r="G112" s="165">
        <v>3266</v>
      </c>
      <c r="H112" s="165">
        <v>3387</v>
      </c>
      <c r="I112" s="166">
        <f t="shared" si="15"/>
        <v>3.7048377219840889E-2</v>
      </c>
      <c r="J112" s="166">
        <f>H112/H109</f>
        <v>0.16640463790901053</v>
      </c>
    </row>
    <row r="113" spans="2:10" x14ac:dyDescent="0.25">
      <c r="B113" s="160" t="s">
        <v>109</v>
      </c>
      <c r="C113" s="161">
        <v>0</v>
      </c>
      <c r="D113" s="161">
        <v>5165</v>
      </c>
      <c r="E113" s="161">
        <v>9593</v>
      </c>
      <c r="F113" s="161">
        <v>16725</v>
      </c>
      <c r="G113" s="161">
        <v>14399</v>
      </c>
      <c r="H113" s="161">
        <v>14938</v>
      </c>
      <c r="I113" s="162">
        <f t="shared" si="15"/>
        <v>3.7433155080213831E-2</v>
      </c>
      <c r="J113" s="162">
        <f>H113/H109</f>
        <v>0.73390979660017686</v>
      </c>
    </row>
    <row r="114" spans="2:10" x14ac:dyDescent="0.25">
      <c r="B114" s="164" t="s">
        <v>112</v>
      </c>
      <c r="C114" s="165">
        <v>0</v>
      </c>
      <c r="D114" s="165">
        <v>407</v>
      </c>
      <c r="E114" s="165">
        <v>6784</v>
      </c>
      <c r="F114" s="165">
        <v>11071</v>
      </c>
      <c r="G114" s="165">
        <v>9672</v>
      </c>
      <c r="H114" s="165">
        <v>9636</v>
      </c>
      <c r="I114" s="166">
        <f t="shared" si="15"/>
        <v>-3.7220843672456372E-3</v>
      </c>
      <c r="J114" s="166">
        <f>H114/H109</f>
        <v>0.473420457895254</v>
      </c>
    </row>
    <row r="115" spans="2:10" x14ac:dyDescent="0.25">
      <c r="B115" s="164" t="s">
        <v>115</v>
      </c>
      <c r="C115" s="165">
        <v>0</v>
      </c>
      <c r="D115" s="165">
        <v>2089</v>
      </c>
      <c r="E115" s="165">
        <v>179</v>
      </c>
      <c r="F115" s="165">
        <v>633</v>
      </c>
      <c r="G115" s="165">
        <v>501</v>
      </c>
      <c r="H115" s="165">
        <v>708</v>
      </c>
      <c r="I115" s="166">
        <f t="shared" si="15"/>
        <v>0.41317365269461082</v>
      </c>
      <c r="J115" s="166">
        <f>H115/H109</f>
        <v>3.4784317578854279E-2</v>
      </c>
    </row>
    <row r="116" spans="2:10" x14ac:dyDescent="0.25">
      <c r="B116" s="164" t="s">
        <v>118</v>
      </c>
      <c r="C116" s="165">
        <v>0</v>
      </c>
      <c r="D116" s="165">
        <v>555</v>
      </c>
      <c r="E116" s="165">
        <v>339</v>
      </c>
      <c r="F116" s="165">
        <v>1022</v>
      </c>
      <c r="G116" s="165">
        <v>949</v>
      </c>
      <c r="H116" s="165">
        <v>1007</v>
      </c>
      <c r="I116" s="166">
        <f t="shared" si="15"/>
        <v>6.1116965226554187E-2</v>
      </c>
      <c r="J116" s="166">
        <f>H116/H109</f>
        <v>4.9474304804952345E-2</v>
      </c>
    </row>
    <row r="117" spans="2:10" x14ac:dyDescent="0.25">
      <c r="B117" s="164" t="s">
        <v>125</v>
      </c>
      <c r="C117" s="165">
        <v>0</v>
      </c>
      <c r="D117" s="165">
        <v>591</v>
      </c>
      <c r="E117" s="165">
        <v>258</v>
      </c>
      <c r="F117" s="165">
        <v>259</v>
      </c>
      <c r="G117" s="165">
        <v>182</v>
      </c>
      <c r="H117" s="165">
        <v>304</v>
      </c>
      <c r="I117" s="166">
        <f t="shared" si="15"/>
        <v>0.67032967032967039</v>
      </c>
      <c r="J117" s="166">
        <f>H117/H109</f>
        <v>1.4935639186400708E-2</v>
      </c>
    </row>
    <row r="118" spans="2:10" x14ac:dyDescent="0.25">
      <c r="B118" s="164" t="s">
        <v>121</v>
      </c>
      <c r="C118" s="165">
        <v>0</v>
      </c>
      <c r="D118" s="165">
        <v>520</v>
      </c>
      <c r="E118" s="165">
        <v>128</v>
      </c>
      <c r="F118" s="165">
        <v>260</v>
      </c>
      <c r="G118" s="165">
        <v>315</v>
      </c>
      <c r="H118" s="165">
        <v>235</v>
      </c>
      <c r="I118" s="166">
        <f t="shared" si="15"/>
        <v>-0.25396825396825395</v>
      </c>
      <c r="J118" s="166">
        <f>H118/H109</f>
        <v>1.1545642134224231E-2</v>
      </c>
    </row>
    <row r="119" spans="2:10" x14ac:dyDescent="0.25">
      <c r="B119" s="164" t="s">
        <v>130</v>
      </c>
      <c r="C119" s="165">
        <v>0</v>
      </c>
      <c r="D119" s="165">
        <v>10</v>
      </c>
      <c r="E119" s="165">
        <v>6</v>
      </c>
      <c r="F119" s="165">
        <v>14</v>
      </c>
      <c r="G119" s="165">
        <v>7</v>
      </c>
      <c r="H119" s="165">
        <v>16</v>
      </c>
      <c r="I119" s="166">
        <f t="shared" si="15"/>
        <v>1.2857142857142856</v>
      </c>
      <c r="J119" s="166">
        <f>H119/H109</f>
        <v>7.8608627296845824E-4</v>
      </c>
    </row>
    <row r="120" spans="2:10" x14ac:dyDescent="0.25">
      <c r="B120" s="164" t="s">
        <v>133</v>
      </c>
      <c r="C120" s="165">
        <v>0</v>
      </c>
      <c r="D120" s="165">
        <v>14</v>
      </c>
      <c r="E120" s="165">
        <v>10</v>
      </c>
      <c r="F120" s="165">
        <v>15</v>
      </c>
      <c r="G120" s="165">
        <v>11</v>
      </c>
      <c r="H120" s="165">
        <v>29</v>
      </c>
      <c r="I120" s="166">
        <f t="shared" si="15"/>
        <v>1.6363636363636362</v>
      </c>
      <c r="J120" s="166">
        <f>H120/H109</f>
        <v>1.4247813697553307E-3</v>
      </c>
    </row>
    <row r="121" spans="2:10" x14ac:dyDescent="0.25">
      <c r="B121" s="169" t="s">
        <v>147</v>
      </c>
      <c r="C121" s="170">
        <f t="shared" ref="C121:H121" si="16">C113-SUM(C114:C120)</f>
        <v>0</v>
      </c>
      <c r="D121" s="170">
        <f t="shared" si="16"/>
        <v>979</v>
      </c>
      <c r="E121" s="170">
        <f t="shared" si="16"/>
        <v>1889</v>
      </c>
      <c r="F121" s="170">
        <f t="shared" si="16"/>
        <v>3451</v>
      </c>
      <c r="G121" s="170">
        <f t="shared" si="16"/>
        <v>2762</v>
      </c>
      <c r="H121" s="170">
        <f t="shared" si="16"/>
        <v>3003</v>
      </c>
      <c r="I121" s="171">
        <f t="shared" si="15"/>
        <v>8.725561187545261E-2</v>
      </c>
      <c r="J121" s="171">
        <f>H121/H109</f>
        <v>0.14753856735776752</v>
      </c>
    </row>
    <row r="122" spans="2:10" x14ac:dyDescent="0.25">
      <c r="B122" s="156" t="s">
        <v>53</v>
      </c>
      <c r="C122" s="175"/>
      <c r="D122" s="175"/>
      <c r="E122" s="175"/>
      <c r="F122" s="175"/>
      <c r="G122" s="175"/>
      <c r="H122" s="175"/>
      <c r="I122" s="176"/>
      <c r="J122" s="176"/>
    </row>
    <row r="123" spans="2:10" x14ac:dyDescent="0.25">
      <c r="B123" s="157" t="s">
        <v>70</v>
      </c>
      <c r="C123" s="177">
        <v>0</v>
      </c>
      <c r="D123" s="177">
        <v>13541</v>
      </c>
      <c r="E123" s="177">
        <v>17608</v>
      </c>
      <c r="F123" s="177">
        <v>17983</v>
      </c>
      <c r="G123" s="177">
        <v>19479</v>
      </c>
      <c r="H123" s="177">
        <v>20873</v>
      </c>
      <c r="I123" s="178">
        <f t="shared" ref="I123:I135" si="17">IFERROR(H123/G123-1,"-")</f>
        <v>7.1564248678063658E-2</v>
      </c>
      <c r="J123" s="178">
        <f>H123/H123</f>
        <v>1</v>
      </c>
    </row>
    <row r="124" spans="2:10" x14ac:dyDescent="0.25">
      <c r="B124" s="160" t="s">
        <v>99</v>
      </c>
      <c r="C124" s="161">
        <v>0</v>
      </c>
      <c r="D124" s="161">
        <v>9924</v>
      </c>
      <c r="E124" s="161">
        <v>12409</v>
      </c>
      <c r="F124" s="161">
        <v>13066</v>
      </c>
      <c r="G124" s="161">
        <v>14875</v>
      </c>
      <c r="H124" s="161">
        <v>16672</v>
      </c>
      <c r="I124" s="162">
        <f t="shared" si="17"/>
        <v>0.12080672268907566</v>
      </c>
      <c r="J124" s="162">
        <f>H124/H123</f>
        <v>0.7987352081636564</v>
      </c>
    </row>
    <row r="125" spans="2:10" x14ac:dyDescent="0.25">
      <c r="B125" s="164" t="s">
        <v>105</v>
      </c>
      <c r="C125" s="165">
        <v>0</v>
      </c>
      <c r="D125" s="165">
        <v>5525</v>
      </c>
      <c r="E125" s="165">
        <v>6807</v>
      </c>
      <c r="F125" s="165">
        <v>6349</v>
      </c>
      <c r="G125" s="165">
        <v>7333</v>
      </c>
      <c r="H125" s="165">
        <v>8899</v>
      </c>
      <c r="I125" s="166">
        <f t="shared" si="17"/>
        <v>0.21355516159825449</v>
      </c>
      <c r="J125" s="166">
        <f>H125/H123</f>
        <v>0.42634024816748911</v>
      </c>
    </row>
    <row r="126" spans="2:10" x14ac:dyDescent="0.25">
      <c r="B126" s="164" t="s">
        <v>102</v>
      </c>
      <c r="C126" s="165">
        <v>0</v>
      </c>
      <c r="D126" s="165">
        <v>4399</v>
      </c>
      <c r="E126" s="165">
        <v>5602</v>
      </c>
      <c r="F126" s="165">
        <v>6717</v>
      </c>
      <c r="G126" s="165">
        <v>7542</v>
      </c>
      <c r="H126" s="165">
        <v>7773</v>
      </c>
      <c r="I126" s="166">
        <f t="shared" si="17"/>
        <v>3.0628480509148792E-2</v>
      </c>
      <c r="J126" s="166">
        <f>H126/H123</f>
        <v>0.37239495999616729</v>
      </c>
    </row>
    <row r="127" spans="2:10" x14ac:dyDescent="0.25">
      <c r="B127" s="160" t="s">
        <v>109</v>
      </c>
      <c r="C127" s="161">
        <v>0</v>
      </c>
      <c r="D127" s="161">
        <v>3617</v>
      </c>
      <c r="E127" s="161">
        <v>5199</v>
      </c>
      <c r="F127" s="161">
        <v>4917</v>
      </c>
      <c r="G127" s="161">
        <v>4604</v>
      </c>
      <c r="H127" s="161">
        <v>4201</v>
      </c>
      <c r="I127" s="162">
        <f t="shared" si="17"/>
        <v>-8.7532580364900081E-2</v>
      </c>
      <c r="J127" s="162">
        <f>H127/H123</f>
        <v>0.2012647918363436</v>
      </c>
    </row>
    <row r="128" spans="2:10" x14ac:dyDescent="0.25">
      <c r="B128" s="164" t="s">
        <v>112</v>
      </c>
      <c r="C128" s="165">
        <v>0</v>
      </c>
      <c r="D128" s="165">
        <v>131</v>
      </c>
      <c r="E128" s="165">
        <v>513</v>
      </c>
      <c r="F128" s="165">
        <v>875</v>
      </c>
      <c r="G128" s="165">
        <v>683</v>
      </c>
      <c r="H128" s="165">
        <v>360</v>
      </c>
      <c r="I128" s="166">
        <f t="shared" si="17"/>
        <v>-0.47291361639824303</v>
      </c>
      <c r="J128" s="166">
        <f>H128/H123</f>
        <v>1.724716140468548E-2</v>
      </c>
    </row>
    <row r="129" spans="2:10" x14ac:dyDescent="0.25">
      <c r="B129" s="164" t="s">
        <v>115</v>
      </c>
      <c r="C129" s="165">
        <v>0</v>
      </c>
      <c r="D129" s="165">
        <v>380</v>
      </c>
      <c r="E129" s="165">
        <v>330</v>
      </c>
      <c r="F129" s="165">
        <v>472</v>
      </c>
      <c r="G129" s="165">
        <v>414</v>
      </c>
      <c r="H129" s="165">
        <v>341</v>
      </c>
      <c r="I129" s="166">
        <f t="shared" si="17"/>
        <v>-0.17632850241545894</v>
      </c>
      <c r="J129" s="166">
        <f>H129/H123</f>
        <v>1.6336894552771524E-2</v>
      </c>
    </row>
    <row r="130" spans="2:10" x14ac:dyDescent="0.25">
      <c r="B130" s="164" t="s">
        <v>118</v>
      </c>
      <c r="C130" s="165">
        <v>0</v>
      </c>
      <c r="D130" s="165">
        <v>396</v>
      </c>
      <c r="E130" s="165">
        <v>399</v>
      </c>
      <c r="F130" s="165">
        <v>441</v>
      </c>
      <c r="G130" s="165">
        <v>365</v>
      </c>
      <c r="H130" s="165">
        <v>392</v>
      </c>
      <c r="I130" s="166">
        <f t="shared" si="17"/>
        <v>7.3972602739726057E-2</v>
      </c>
      <c r="J130" s="166">
        <f>H130/H123</f>
        <v>1.8780242418435299E-2</v>
      </c>
    </row>
    <row r="131" spans="2:10" x14ac:dyDescent="0.25">
      <c r="B131" s="164" t="s">
        <v>125</v>
      </c>
      <c r="C131" s="165">
        <v>0</v>
      </c>
      <c r="D131" s="165">
        <v>76</v>
      </c>
      <c r="E131" s="165">
        <v>125</v>
      </c>
      <c r="F131" s="165">
        <v>86</v>
      </c>
      <c r="G131" s="165">
        <v>103</v>
      </c>
      <c r="H131" s="165">
        <v>103</v>
      </c>
      <c r="I131" s="166">
        <f t="shared" si="17"/>
        <v>0</v>
      </c>
      <c r="J131" s="166">
        <f>H131/H123</f>
        <v>4.9346045130072343E-3</v>
      </c>
    </row>
    <row r="132" spans="2:10" x14ac:dyDescent="0.25">
      <c r="B132" s="164" t="s">
        <v>121</v>
      </c>
      <c r="C132" s="165">
        <v>0</v>
      </c>
      <c r="D132" s="165">
        <v>63</v>
      </c>
      <c r="E132" s="165">
        <v>96</v>
      </c>
      <c r="F132" s="165">
        <v>86</v>
      </c>
      <c r="G132" s="165">
        <v>117</v>
      </c>
      <c r="H132" s="165">
        <v>111</v>
      </c>
      <c r="I132" s="166">
        <f t="shared" si="17"/>
        <v>-5.1282051282051322E-2</v>
      </c>
      <c r="J132" s="166">
        <f>H132/H123</f>
        <v>5.3178747664446892E-3</v>
      </c>
    </row>
    <row r="133" spans="2:10" x14ac:dyDescent="0.25">
      <c r="B133" s="164" t="s">
        <v>130</v>
      </c>
      <c r="C133" s="165">
        <v>0</v>
      </c>
      <c r="D133" s="165">
        <v>3</v>
      </c>
      <c r="E133" s="165">
        <v>36</v>
      </c>
      <c r="F133" s="165">
        <v>26</v>
      </c>
      <c r="G133" s="165">
        <v>39</v>
      </c>
      <c r="H133" s="165">
        <v>27</v>
      </c>
      <c r="I133" s="166">
        <f t="shared" si="17"/>
        <v>-0.30769230769230771</v>
      </c>
      <c r="J133" s="166">
        <f>H133/H123</f>
        <v>1.293537105351411E-3</v>
      </c>
    </row>
    <row r="134" spans="2:10" x14ac:dyDescent="0.25">
      <c r="B134" s="164" t="s">
        <v>133</v>
      </c>
      <c r="C134" s="165">
        <v>0</v>
      </c>
      <c r="D134" s="165">
        <v>27</v>
      </c>
      <c r="E134" s="165">
        <v>51</v>
      </c>
      <c r="F134" s="165">
        <v>33</v>
      </c>
      <c r="G134" s="165">
        <v>26</v>
      </c>
      <c r="H134" s="165">
        <v>23</v>
      </c>
      <c r="I134" s="166">
        <f t="shared" si="17"/>
        <v>-0.11538461538461542</v>
      </c>
      <c r="J134" s="166">
        <f>H134/H123</f>
        <v>1.1019019786326833E-3</v>
      </c>
    </row>
    <row r="135" spans="2:10" x14ac:dyDescent="0.25">
      <c r="B135" s="169" t="s">
        <v>147</v>
      </c>
      <c r="C135" s="170">
        <f t="shared" ref="C135:H135" si="18">C127-SUM(C128:C134)</f>
        <v>0</v>
      </c>
      <c r="D135" s="170">
        <f t="shared" si="18"/>
        <v>2541</v>
      </c>
      <c r="E135" s="170">
        <f t="shared" si="18"/>
        <v>3649</v>
      </c>
      <c r="F135" s="170">
        <f t="shared" si="18"/>
        <v>2898</v>
      </c>
      <c r="G135" s="170">
        <f t="shared" si="18"/>
        <v>2857</v>
      </c>
      <c r="H135" s="170">
        <f t="shared" si="18"/>
        <v>2844</v>
      </c>
      <c r="I135" s="171">
        <f t="shared" si="17"/>
        <v>-4.5502275113755708E-3</v>
      </c>
      <c r="J135" s="171">
        <f>H135/H123</f>
        <v>0.13625257509701527</v>
      </c>
    </row>
    <row r="136" spans="2:10" x14ac:dyDescent="0.25">
      <c r="B136" s="156" t="s">
        <v>54</v>
      </c>
      <c r="C136" s="175"/>
      <c r="D136" s="175"/>
      <c r="E136" s="175"/>
      <c r="F136" s="175"/>
      <c r="G136" s="175"/>
      <c r="H136" s="175"/>
      <c r="I136" s="176"/>
      <c r="J136" s="176"/>
    </row>
    <row r="137" spans="2:10" x14ac:dyDescent="0.25">
      <c r="B137" s="157" t="s">
        <v>70</v>
      </c>
      <c r="C137" s="177">
        <v>0</v>
      </c>
      <c r="D137" s="177">
        <v>3802</v>
      </c>
      <c r="E137" s="177">
        <v>18886</v>
      </c>
      <c r="F137" s="177">
        <v>21065</v>
      </c>
      <c r="G137" s="177">
        <v>22841</v>
      </c>
      <c r="H137" s="177">
        <v>23159</v>
      </c>
      <c r="I137" s="178">
        <f t="shared" ref="I137:I149" si="19">IFERROR(H137/G137-1,"-")</f>
        <v>1.3922332647432256E-2</v>
      </c>
      <c r="J137" s="178">
        <f>H137/H137</f>
        <v>1</v>
      </c>
    </row>
    <row r="138" spans="2:10" x14ac:dyDescent="0.25">
      <c r="B138" s="160" t="s">
        <v>99</v>
      </c>
      <c r="C138" s="161">
        <v>0</v>
      </c>
      <c r="D138" s="161">
        <v>2007</v>
      </c>
      <c r="E138" s="161">
        <v>1981</v>
      </c>
      <c r="F138" s="161">
        <v>3499</v>
      </c>
      <c r="G138" s="161">
        <v>2734</v>
      </c>
      <c r="H138" s="161">
        <v>2922</v>
      </c>
      <c r="I138" s="162">
        <f t="shared" si="19"/>
        <v>6.8763716166788669E-2</v>
      </c>
      <c r="J138" s="162">
        <f>H138/H137</f>
        <v>0.12617125091756984</v>
      </c>
    </row>
    <row r="139" spans="2:10" x14ac:dyDescent="0.25">
      <c r="B139" s="164" t="s">
        <v>105</v>
      </c>
      <c r="C139" s="165">
        <v>0</v>
      </c>
      <c r="D139" s="165">
        <v>1157</v>
      </c>
      <c r="E139" s="165">
        <v>1245</v>
      </c>
      <c r="F139" s="165">
        <v>2218</v>
      </c>
      <c r="G139" s="165">
        <v>1876</v>
      </c>
      <c r="H139" s="165">
        <v>1679</v>
      </c>
      <c r="I139" s="166">
        <f t="shared" si="19"/>
        <v>-0.10501066098081024</v>
      </c>
      <c r="J139" s="166">
        <f>H139/H137</f>
        <v>7.2498812556673425E-2</v>
      </c>
    </row>
    <row r="140" spans="2:10" x14ac:dyDescent="0.25">
      <c r="B140" s="164" t="s">
        <v>102</v>
      </c>
      <c r="C140" s="165">
        <v>0</v>
      </c>
      <c r="D140" s="165">
        <v>850</v>
      </c>
      <c r="E140" s="165">
        <v>736</v>
      </c>
      <c r="F140" s="165">
        <v>1281</v>
      </c>
      <c r="G140" s="165">
        <v>858</v>
      </c>
      <c r="H140" s="165">
        <v>1243</v>
      </c>
      <c r="I140" s="166">
        <f t="shared" si="19"/>
        <v>0.44871794871794868</v>
      </c>
      <c r="J140" s="166">
        <f>H140/H137</f>
        <v>5.3672438360896413E-2</v>
      </c>
    </row>
    <row r="141" spans="2:10" x14ac:dyDescent="0.25">
      <c r="B141" s="160" t="s">
        <v>109</v>
      </c>
      <c r="C141" s="161">
        <v>0</v>
      </c>
      <c r="D141" s="161">
        <v>1795</v>
      </c>
      <c r="E141" s="161">
        <v>16905</v>
      </c>
      <c r="F141" s="161">
        <v>17566</v>
      </c>
      <c r="G141" s="161">
        <v>20107</v>
      </c>
      <c r="H141" s="161">
        <v>20237</v>
      </c>
      <c r="I141" s="162">
        <f t="shared" si="19"/>
        <v>6.4654100561993832E-3</v>
      </c>
      <c r="J141" s="162">
        <f>H141/H137</f>
        <v>0.87382874908243013</v>
      </c>
    </row>
    <row r="142" spans="2:10" x14ac:dyDescent="0.25">
      <c r="B142" s="164" t="s">
        <v>112</v>
      </c>
      <c r="C142" s="165">
        <v>0</v>
      </c>
      <c r="D142" s="165">
        <v>90</v>
      </c>
      <c r="E142" s="165">
        <v>7353</v>
      </c>
      <c r="F142" s="165">
        <v>8301</v>
      </c>
      <c r="G142" s="165">
        <v>10338</v>
      </c>
      <c r="H142" s="165">
        <v>10224</v>
      </c>
      <c r="I142" s="166">
        <f t="shared" si="19"/>
        <v>-1.1027278003482244E-2</v>
      </c>
      <c r="J142" s="166">
        <f>H142/H137</f>
        <v>0.44146983893950514</v>
      </c>
    </row>
    <row r="143" spans="2:10" x14ac:dyDescent="0.25">
      <c r="B143" s="164" t="s">
        <v>115</v>
      </c>
      <c r="C143" s="165">
        <v>0</v>
      </c>
      <c r="D143" s="165">
        <v>231</v>
      </c>
      <c r="E143" s="165">
        <v>1321</v>
      </c>
      <c r="F143" s="165">
        <v>1398</v>
      </c>
      <c r="G143" s="165">
        <v>1391</v>
      </c>
      <c r="H143" s="165">
        <v>1601</v>
      </c>
      <c r="I143" s="166">
        <f t="shared" si="19"/>
        <v>0.15097052480230055</v>
      </c>
      <c r="J143" s="166">
        <f>H143/H137</f>
        <v>6.9130791484951853E-2</v>
      </c>
    </row>
    <row r="144" spans="2:10" x14ac:dyDescent="0.25">
      <c r="B144" s="164" t="s">
        <v>118</v>
      </c>
      <c r="C144" s="165">
        <v>0</v>
      </c>
      <c r="D144" s="165">
        <v>377</v>
      </c>
      <c r="E144" s="165">
        <v>1955</v>
      </c>
      <c r="F144" s="165">
        <v>1820</v>
      </c>
      <c r="G144" s="165">
        <v>1716</v>
      </c>
      <c r="H144" s="165">
        <v>1687</v>
      </c>
      <c r="I144" s="166">
        <f t="shared" si="19"/>
        <v>-1.689976689976691E-2</v>
      </c>
      <c r="J144" s="166">
        <f>H144/H137</f>
        <v>7.2844250615311537E-2</v>
      </c>
    </row>
    <row r="145" spans="2:10" x14ac:dyDescent="0.25">
      <c r="B145" s="164" t="s">
        <v>125</v>
      </c>
      <c r="C145" s="165">
        <v>0</v>
      </c>
      <c r="D145" s="165">
        <v>48</v>
      </c>
      <c r="E145" s="165">
        <v>664</v>
      </c>
      <c r="F145" s="165">
        <v>493</v>
      </c>
      <c r="G145" s="165">
        <v>432</v>
      </c>
      <c r="H145" s="165">
        <v>397</v>
      </c>
      <c r="I145" s="166">
        <f t="shared" si="19"/>
        <v>-8.101851851851849E-2</v>
      </c>
      <c r="J145" s="166">
        <f>H145/H137</f>
        <v>1.714236365991623E-2</v>
      </c>
    </row>
    <row r="146" spans="2:10" x14ac:dyDescent="0.25">
      <c r="B146" s="164" t="s">
        <v>121</v>
      </c>
      <c r="C146" s="165">
        <v>0</v>
      </c>
      <c r="D146" s="165">
        <v>86</v>
      </c>
      <c r="E146" s="165">
        <v>248</v>
      </c>
      <c r="F146" s="165">
        <v>365</v>
      </c>
      <c r="G146" s="165">
        <v>533</v>
      </c>
      <c r="H146" s="165">
        <v>304</v>
      </c>
      <c r="I146" s="166">
        <f t="shared" si="19"/>
        <v>-0.42964352720450283</v>
      </c>
      <c r="J146" s="166">
        <f>H146/H137</f>
        <v>1.3126646228248197E-2</v>
      </c>
    </row>
    <row r="147" spans="2:10" x14ac:dyDescent="0.25">
      <c r="B147" s="164" t="s">
        <v>130</v>
      </c>
      <c r="C147" s="165">
        <v>0</v>
      </c>
      <c r="D147" s="165">
        <v>2</v>
      </c>
      <c r="E147" s="165">
        <v>23</v>
      </c>
      <c r="F147" s="165">
        <v>2</v>
      </c>
      <c r="G147" s="165">
        <v>6</v>
      </c>
      <c r="H147" s="165">
        <v>23</v>
      </c>
      <c r="I147" s="166">
        <f t="shared" si="19"/>
        <v>2.8333333333333335</v>
      </c>
      <c r="J147" s="166">
        <f>H147/H137</f>
        <v>9.9313441858456752E-4</v>
      </c>
    </row>
    <row r="148" spans="2:10" x14ac:dyDescent="0.25">
      <c r="B148" s="164" t="s">
        <v>133</v>
      </c>
      <c r="C148" s="165">
        <v>0</v>
      </c>
      <c r="D148" s="165">
        <v>4</v>
      </c>
      <c r="E148" s="165">
        <v>12</v>
      </c>
      <c r="F148" s="165">
        <v>11</v>
      </c>
      <c r="G148" s="165">
        <v>5</v>
      </c>
      <c r="H148" s="165">
        <v>23</v>
      </c>
      <c r="I148" s="166">
        <f t="shared" si="19"/>
        <v>3.5999999999999996</v>
      </c>
      <c r="J148" s="166">
        <f>H148/H137</f>
        <v>9.9313441858456752E-4</v>
      </c>
    </row>
    <row r="149" spans="2:10" x14ac:dyDescent="0.25">
      <c r="B149" s="169" t="s">
        <v>147</v>
      </c>
      <c r="C149" s="170">
        <f t="shared" ref="C149:H149" si="20">C141-SUM(C142:C148)</f>
        <v>0</v>
      </c>
      <c r="D149" s="170">
        <f t="shared" si="20"/>
        <v>957</v>
      </c>
      <c r="E149" s="170">
        <f t="shared" si="20"/>
        <v>5329</v>
      </c>
      <c r="F149" s="170">
        <f t="shared" si="20"/>
        <v>5176</v>
      </c>
      <c r="G149" s="170">
        <f t="shared" si="20"/>
        <v>5686</v>
      </c>
      <c r="H149" s="170">
        <f t="shared" si="20"/>
        <v>5978</v>
      </c>
      <c r="I149" s="171">
        <f t="shared" si="19"/>
        <v>5.135420330636653E-2</v>
      </c>
      <c r="J149" s="171">
        <f>H149/H137</f>
        <v>0.25812858931732802</v>
      </c>
    </row>
    <row r="150" spans="2:10" x14ac:dyDescent="0.25">
      <c r="B150" s="156" t="s">
        <v>55</v>
      </c>
      <c r="C150" s="175"/>
      <c r="D150" s="175"/>
      <c r="E150" s="175"/>
      <c r="F150" s="175"/>
      <c r="G150" s="175"/>
      <c r="H150" s="175"/>
      <c r="I150" s="176"/>
      <c r="J150" s="176"/>
    </row>
    <row r="151" spans="2:10" x14ac:dyDescent="0.25">
      <c r="B151" s="157" t="s">
        <v>70</v>
      </c>
      <c r="C151" s="177">
        <v>0</v>
      </c>
      <c r="D151" s="177">
        <v>5282</v>
      </c>
      <c r="E151" s="177">
        <v>6967</v>
      </c>
      <c r="F151" s="177">
        <v>9485</v>
      </c>
      <c r="G151" s="177">
        <v>8136</v>
      </c>
      <c r="H151" s="177">
        <v>9355</v>
      </c>
      <c r="I151" s="178">
        <f t="shared" ref="I151:I163" si="21">IFERROR(H151/G151-1,"-")</f>
        <v>0.14982792527040312</v>
      </c>
      <c r="J151" s="178">
        <f>H151/H151</f>
        <v>1</v>
      </c>
    </row>
    <row r="152" spans="2:10" x14ac:dyDescent="0.25">
      <c r="B152" s="160" t="s">
        <v>99</v>
      </c>
      <c r="C152" s="161">
        <v>0</v>
      </c>
      <c r="D152" s="161">
        <v>3982</v>
      </c>
      <c r="E152" s="161">
        <v>3939</v>
      </c>
      <c r="F152" s="161">
        <v>6045</v>
      </c>
      <c r="G152" s="161">
        <v>4075</v>
      </c>
      <c r="H152" s="161">
        <v>5277</v>
      </c>
      <c r="I152" s="162">
        <f t="shared" si="21"/>
        <v>0.29496932515337426</v>
      </c>
      <c r="J152" s="162">
        <f>H152/H151</f>
        <v>0.56408337787279528</v>
      </c>
    </row>
    <row r="153" spans="2:10" x14ac:dyDescent="0.25">
      <c r="B153" s="164" t="s">
        <v>105</v>
      </c>
      <c r="C153" s="165">
        <v>0</v>
      </c>
      <c r="D153" s="165">
        <v>3297</v>
      </c>
      <c r="E153" s="165">
        <v>3038</v>
      </c>
      <c r="F153" s="165">
        <v>4073</v>
      </c>
      <c r="G153" s="165">
        <v>1863</v>
      </c>
      <c r="H153" s="165">
        <v>3011</v>
      </c>
      <c r="I153" s="166">
        <f t="shared" si="21"/>
        <v>0.61621041331186266</v>
      </c>
      <c r="J153" s="166">
        <f>H153/H151</f>
        <v>0.32185996793158739</v>
      </c>
    </row>
    <row r="154" spans="2:10" x14ac:dyDescent="0.25">
      <c r="B154" s="164" t="s">
        <v>102</v>
      </c>
      <c r="C154" s="165">
        <v>0</v>
      </c>
      <c r="D154" s="165">
        <v>685</v>
      </c>
      <c r="E154" s="165">
        <v>901</v>
      </c>
      <c r="F154" s="165">
        <v>1972</v>
      </c>
      <c r="G154" s="165">
        <v>2212</v>
      </c>
      <c r="H154" s="165">
        <v>2266</v>
      </c>
      <c r="I154" s="166">
        <f t="shared" si="21"/>
        <v>2.4412296564195302E-2</v>
      </c>
      <c r="J154" s="166">
        <f>H154/H151</f>
        <v>0.24222340994120792</v>
      </c>
    </row>
    <row r="155" spans="2:10" x14ac:dyDescent="0.25">
      <c r="B155" s="160" t="s">
        <v>109</v>
      </c>
      <c r="C155" s="161">
        <v>0</v>
      </c>
      <c r="D155" s="161">
        <v>1300</v>
      </c>
      <c r="E155" s="161">
        <v>3028</v>
      </c>
      <c r="F155" s="161">
        <v>3440</v>
      </c>
      <c r="G155" s="161">
        <v>4061</v>
      </c>
      <c r="H155" s="161">
        <v>4078</v>
      </c>
      <c r="I155" s="162">
        <f t="shared" si="21"/>
        <v>4.186161044077874E-3</v>
      </c>
      <c r="J155" s="162">
        <f>H155/H151</f>
        <v>0.43591662212720472</v>
      </c>
    </row>
    <row r="156" spans="2:10" x14ac:dyDescent="0.25">
      <c r="B156" s="164" t="s">
        <v>112</v>
      </c>
      <c r="C156" s="165">
        <v>0</v>
      </c>
      <c r="D156" s="165">
        <v>40</v>
      </c>
      <c r="E156" s="165">
        <v>1200</v>
      </c>
      <c r="F156" s="165">
        <v>1217</v>
      </c>
      <c r="G156" s="165">
        <v>1241</v>
      </c>
      <c r="H156" s="165">
        <v>1380</v>
      </c>
      <c r="I156" s="166">
        <f t="shared" si="21"/>
        <v>0.11200644641418211</v>
      </c>
      <c r="J156" s="166">
        <f>H156/H151</f>
        <v>0.14751469802244788</v>
      </c>
    </row>
    <row r="157" spans="2:10" x14ac:dyDescent="0.25">
      <c r="B157" s="164" t="s">
        <v>115</v>
      </c>
      <c r="C157" s="165">
        <v>0</v>
      </c>
      <c r="D157" s="165">
        <v>259</v>
      </c>
      <c r="E157" s="165">
        <v>694</v>
      </c>
      <c r="F157" s="165">
        <v>544</v>
      </c>
      <c r="G157" s="165">
        <v>526</v>
      </c>
      <c r="H157" s="165">
        <v>572</v>
      </c>
      <c r="I157" s="166">
        <f t="shared" si="21"/>
        <v>8.7452471482889704E-2</v>
      </c>
      <c r="J157" s="166">
        <f>H157/H151</f>
        <v>6.1143773383217533E-2</v>
      </c>
    </row>
    <row r="158" spans="2:10" x14ac:dyDescent="0.25">
      <c r="B158" s="164" t="s">
        <v>118</v>
      </c>
      <c r="C158" s="165">
        <v>0</v>
      </c>
      <c r="D158" s="165">
        <v>394</v>
      </c>
      <c r="E158" s="165">
        <v>283</v>
      </c>
      <c r="F158" s="165">
        <v>598</v>
      </c>
      <c r="G158" s="165">
        <v>847</v>
      </c>
      <c r="H158" s="165">
        <v>997</v>
      </c>
      <c r="I158" s="166">
        <f t="shared" si="21"/>
        <v>0.1770956316410861</v>
      </c>
      <c r="J158" s="166">
        <f>H158/H151</f>
        <v>0.10657402458578301</v>
      </c>
    </row>
    <row r="159" spans="2:10" x14ac:dyDescent="0.25">
      <c r="B159" s="164" t="s">
        <v>125</v>
      </c>
      <c r="C159" s="165">
        <v>0</v>
      </c>
      <c r="D159" s="165">
        <v>51</v>
      </c>
      <c r="E159" s="165">
        <v>93</v>
      </c>
      <c r="F159" s="165">
        <v>61</v>
      </c>
      <c r="G159" s="165">
        <v>158</v>
      </c>
      <c r="H159" s="165">
        <v>115</v>
      </c>
      <c r="I159" s="166">
        <f t="shared" si="21"/>
        <v>-0.27215189873417722</v>
      </c>
      <c r="J159" s="166">
        <f>H159/H151</f>
        <v>1.2292891501870658E-2</v>
      </c>
    </row>
    <row r="160" spans="2:10" x14ac:dyDescent="0.25">
      <c r="B160" s="164" t="s">
        <v>121</v>
      </c>
      <c r="C160" s="165">
        <v>0</v>
      </c>
      <c r="D160" s="165">
        <v>87</v>
      </c>
      <c r="E160" s="165">
        <v>211</v>
      </c>
      <c r="F160" s="165">
        <v>220</v>
      </c>
      <c r="G160" s="165">
        <v>173</v>
      </c>
      <c r="H160" s="165">
        <v>99</v>
      </c>
      <c r="I160" s="166">
        <f t="shared" si="21"/>
        <v>-0.4277456647398844</v>
      </c>
      <c r="J160" s="166">
        <f>H160/H151</f>
        <v>1.0582576162479958E-2</v>
      </c>
    </row>
    <row r="161" spans="2:10" x14ac:dyDescent="0.25">
      <c r="B161" s="164" t="s">
        <v>130</v>
      </c>
      <c r="C161" s="165">
        <v>0</v>
      </c>
      <c r="D161" s="165">
        <v>2</v>
      </c>
      <c r="E161" s="165">
        <v>5</v>
      </c>
      <c r="F161" s="165">
        <v>2</v>
      </c>
      <c r="G161" s="165">
        <v>2</v>
      </c>
      <c r="H161" s="165">
        <v>4</v>
      </c>
      <c r="I161" s="166">
        <f t="shared" si="21"/>
        <v>1</v>
      </c>
      <c r="J161" s="166">
        <f>H161/H151</f>
        <v>4.2757883484767506E-4</v>
      </c>
    </row>
    <row r="162" spans="2:10" x14ac:dyDescent="0.25">
      <c r="B162" s="164" t="s">
        <v>133</v>
      </c>
      <c r="C162" s="165">
        <v>0</v>
      </c>
      <c r="D162" s="165">
        <v>6</v>
      </c>
      <c r="E162" s="165">
        <v>14</v>
      </c>
      <c r="F162" s="165">
        <v>8</v>
      </c>
      <c r="G162" s="165">
        <v>3</v>
      </c>
      <c r="H162" s="165">
        <v>4</v>
      </c>
      <c r="I162" s="166">
        <f t="shared" si="21"/>
        <v>0.33333333333333326</v>
      </c>
      <c r="J162" s="166">
        <f>H162/H151</f>
        <v>4.2757883484767506E-4</v>
      </c>
    </row>
    <row r="163" spans="2:10" x14ac:dyDescent="0.25">
      <c r="B163" s="169" t="s">
        <v>147</v>
      </c>
      <c r="C163" s="170">
        <f t="shared" ref="C163:H163" si="22">C155-SUM(C156:C162)</f>
        <v>0</v>
      </c>
      <c r="D163" s="170">
        <f t="shared" si="22"/>
        <v>461</v>
      </c>
      <c r="E163" s="170">
        <f t="shared" si="22"/>
        <v>528</v>
      </c>
      <c r="F163" s="170">
        <f t="shared" si="22"/>
        <v>790</v>
      </c>
      <c r="G163" s="170">
        <f t="shared" si="22"/>
        <v>1111</v>
      </c>
      <c r="H163" s="170">
        <f t="shared" si="22"/>
        <v>907</v>
      </c>
      <c r="I163" s="171">
        <f t="shared" si="21"/>
        <v>-0.18361836183618363</v>
      </c>
      <c r="J163" s="171">
        <f>H163/H151</f>
        <v>9.6953500801710321E-2</v>
      </c>
    </row>
    <row r="164" spans="2:10" x14ac:dyDescent="0.25">
      <c r="C164" s="81"/>
      <c r="D164" s="81"/>
      <c r="E164" s="81"/>
      <c r="F164" s="81"/>
      <c r="G164" s="81"/>
      <c r="H164" s="81"/>
      <c r="I164" s="81"/>
    </row>
    <row r="165" spans="2:10" x14ac:dyDescent="0.25">
      <c r="B165" s="107" t="s">
        <v>57</v>
      </c>
      <c r="C165" s="107"/>
      <c r="D165" s="107"/>
      <c r="E165" s="107"/>
      <c r="F165" s="107"/>
      <c r="G165" s="107"/>
      <c r="H165" s="107"/>
      <c r="I165" s="107"/>
      <c r="J165" s="107"/>
    </row>
  </sheetData>
  <mergeCells count="3">
    <mergeCell ref="B6:J6"/>
    <mergeCell ref="M6:T6"/>
    <mergeCell ref="C8:J8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A9B9AF-C109-4A18-AADD-8045160E381E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  <col min="16" max="25" width="11.42578125" hidden="1" customWidth="1"/>
  </cols>
  <sheetData>
    <row r="1" spans="1:25" ht="42.75" customHeight="1" x14ac:dyDescent="0.25"/>
    <row r="4" spans="1:25" ht="42" customHeight="1" thickBot="1" x14ac:dyDescent="0.3">
      <c r="B4" s="278" t="str">
        <f>CONCATENATE("Viajeros entrados en los establecimientos alojativos de Tenerife según lugar de residencia y municipio de alojamiento (hotel + apartamento)")</f>
        <v>Viajeros entrados en los establecimientos alojativos de Tenerife según lugar de residencia y municipio de alojamiento (hotel + apartamento)</v>
      </c>
      <c r="C4" s="278"/>
      <c r="D4" s="278"/>
      <c r="E4" s="278"/>
      <c r="F4" s="278"/>
      <c r="G4" s="278"/>
      <c r="H4" s="278"/>
      <c r="I4" s="278"/>
      <c r="J4" s="278"/>
      <c r="K4" s="145"/>
      <c r="L4" s="145"/>
      <c r="M4" s="145"/>
      <c r="P4" s="144" t="s">
        <v>258</v>
      </c>
      <c r="Q4" s="145"/>
      <c r="R4" s="145"/>
      <c r="S4" s="145"/>
      <c r="T4" s="145"/>
      <c r="U4" s="145"/>
      <c r="V4" s="145"/>
      <c r="W4" s="145"/>
      <c r="X4" s="145"/>
      <c r="Y4" s="145"/>
    </row>
    <row r="5" spans="1:25" ht="6" customHeight="1" x14ac:dyDescent="0.25"/>
    <row r="6" spans="1:25" ht="15.75" x14ac:dyDescent="0.25">
      <c r="B6" s="146"/>
      <c r="C6" s="311" t="s">
        <v>45</v>
      </c>
      <c r="D6" s="312"/>
      <c r="E6" s="312"/>
      <c r="F6" s="312"/>
      <c r="G6" s="312"/>
      <c r="H6" s="312"/>
      <c r="I6" s="312"/>
      <c r="J6" s="312"/>
      <c r="K6" s="312"/>
      <c r="L6" s="312"/>
      <c r="M6" s="312"/>
      <c r="P6" s="146"/>
      <c r="Q6" s="311" t="s">
        <v>45</v>
      </c>
      <c r="R6" s="312"/>
      <c r="S6" s="312"/>
      <c r="T6" s="312"/>
      <c r="U6" s="312"/>
      <c r="V6" s="312"/>
      <c r="W6" s="312"/>
      <c r="X6" s="312"/>
      <c r="Y6" s="312"/>
    </row>
    <row r="7" spans="1:25" s="147" customFormat="1" ht="72" customHeight="1" x14ac:dyDescent="0.25">
      <c r="B7" s="148"/>
      <c r="C7" s="173" t="s">
        <v>259</v>
      </c>
      <c r="D7" s="173" t="s">
        <v>260</v>
      </c>
      <c r="E7" s="173" t="s">
        <v>261</v>
      </c>
      <c r="F7" s="173" t="s">
        <v>262</v>
      </c>
      <c r="G7" s="173" t="s">
        <v>263</v>
      </c>
      <c r="H7" s="173" t="s">
        <v>264</v>
      </c>
      <c r="I7" s="174" t="str">
        <f>CONCATENATE("var. ",RIGHT(H7,2),"/",RIGHT(G7,2))</f>
        <v>var. 25/24</v>
      </c>
      <c r="J7" s="174" t="str">
        <f>CONCATENATE("var. ",RIGHT(H7,2),"/",RIGHT(D7,2))</f>
        <v>var. 25/21</v>
      </c>
      <c r="K7" s="173" t="str">
        <f>CONCATENATE("dif. ",RIGHT(H7,2),"/",RIGHT(G7,2))</f>
        <v>dif. 25/24</v>
      </c>
      <c r="L7" s="173" t="str">
        <f>CONCATENATE("dif. ",RIGHT(H7,2),"/",RIGHT(D7,2))</f>
        <v>dif. 25/21</v>
      </c>
      <c r="M7" s="174" t="str">
        <f>CONCATENATE("Cuota s/ total lugares de residencia ",RIGHT(H7,4))</f>
        <v>Cuota s/ total lugares de residencia 2025</v>
      </c>
      <c r="P7" s="148"/>
      <c r="Q7" s="173" t="s">
        <v>259</v>
      </c>
      <c r="R7" s="173" t="s">
        <v>260</v>
      </c>
      <c r="S7" s="173" t="s">
        <v>261</v>
      </c>
      <c r="T7" s="173" t="s">
        <v>262</v>
      </c>
      <c r="U7" s="173" t="s">
        <v>263</v>
      </c>
      <c r="V7" s="173" t="s">
        <v>264</v>
      </c>
      <c r="W7" s="174" t="str">
        <f>CONCATENATE("var. ",RIGHT(V7,2),"/",RIGHT(U7,2))</f>
        <v>var. 25/24</v>
      </c>
      <c r="X7" s="173" t="str">
        <f>CONCATENATE("dif. ",RIGHT(V7,2),"/",RIGHT(U7,2))</f>
        <v>dif. 25/24</v>
      </c>
      <c r="Y7" s="174" t="str">
        <f>CONCATENATE("Cuota s/ total lugares de residencia ",RIGHT(V7,4))</f>
        <v>Cuota s/ total lugares de residencia 2025</v>
      </c>
    </row>
    <row r="8" spans="1:25" x14ac:dyDescent="0.25">
      <c r="A8" s="1"/>
      <c r="B8" s="153" t="s">
        <v>45</v>
      </c>
      <c r="C8" s="154"/>
      <c r="D8" s="154"/>
      <c r="E8" s="154"/>
      <c r="F8" s="154"/>
      <c r="G8" s="154"/>
      <c r="H8" s="155"/>
      <c r="I8" s="155"/>
      <c r="J8" s="155"/>
      <c r="K8" s="155"/>
      <c r="L8" s="154"/>
      <c r="M8" s="154"/>
      <c r="P8" s="156" t="s">
        <v>53</v>
      </c>
      <c r="Q8" s="154"/>
      <c r="R8" s="154"/>
      <c r="S8" s="154"/>
      <c r="T8" s="154"/>
      <c r="U8" s="154"/>
      <c r="V8" s="155"/>
      <c r="W8" s="155"/>
      <c r="X8" s="155"/>
      <c r="Y8" s="154"/>
    </row>
    <row r="9" spans="1:25" x14ac:dyDescent="0.25">
      <c r="A9" s="1" t="s">
        <v>98</v>
      </c>
      <c r="B9" s="157" t="s">
        <v>70</v>
      </c>
      <c r="C9" s="177">
        <v>953043</v>
      </c>
      <c r="D9" s="177">
        <v>520786</v>
      </c>
      <c r="E9" s="177">
        <v>2203401</v>
      </c>
      <c r="F9" s="177">
        <v>2523398</v>
      </c>
      <c r="G9" s="177">
        <v>2685619</v>
      </c>
      <c r="H9" s="177">
        <v>2666692</v>
      </c>
      <c r="I9" s="178">
        <f>IFERROR(H9/G9-1,"-")</f>
        <v>-7.0475372716680695E-3</v>
      </c>
      <c r="J9" s="178">
        <f>IFERROR(H9/D9-1,"-")</f>
        <v>4.1205139923116212</v>
      </c>
      <c r="K9" s="177">
        <f>H9-G9</f>
        <v>-18927</v>
      </c>
      <c r="L9" s="177">
        <f>H9-D9</f>
        <v>2145906</v>
      </c>
      <c r="M9" s="178">
        <f t="shared" ref="M9:M21" si="0">H9/H$9</f>
        <v>1</v>
      </c>
      <c r="P9" s="157" t="s">
        <v>70</v>
      </c>
      <c r="Q9" s="177">
        <v>52853</v>
      </c>
      <c r="R9" s="177">
        <v>58803</v>
      </c>
      <c r="S9" s="177">
        <v>104421</v>
      </c>
      <c r="T9" s="177">
        <v>126576</v>
      </c>
      <c r="U9" s="177">
        <v>125410</v>
      </c>
      <c r="V9" s="177">
        <v>140761</v>
      </c>
      <c r="W9" s="178">
        <f>IFERROR(V9/U9-1,"-")</f>
        <v>0.12240650665816122</v>
      </c>
      <c r="X9" s="177">
        <f>V9-U9</f>
        <v>15351</v>
      </c>
      <c r="Y9" s="178">
        <f t="shared" ref="Y9:Y21" si="1">V9/V$9</f>
        <v>1</v>
      </c>
    </row>
    <row r="10" spans="1:25" x14ac:dyDescent="0.25">
      <c r="A10" s="163" t="s">
        <v>105</v>
      </c>
      <c r="B10" s="160" t="s">
        <v>99</v>
      </c>
      <c r="C10" s="161">
        <v>144600</v>
      </c>
      <c r="D10" s="161">
        <v>273158</v>
      </c>
      <c r="E10" s="161">
        <v>447228</v>
      </c>
      <c r="F10" s="161">
        <v>487504</v>
      </c>
      <c r="G10" s="161">
        <v>481191</v>
      </c>
      <c r="H10" s="161">
        <v>480637</v>
      </c>
      <c r="I10" s="179">
        <f>IFERROR(H10/G10-1,"-")</f>
        <v>-1.1513099787817671E-3</v>
      </c>
      <c r="J10" s="162">
        <f t="shared" ref="J10:J21" si="2">IFERROR(H10/D10-1,"-")</f>
        <v>0.75955674005520613</v>
      </c>
      <c r="K10" s="161">
        <f t="shared" ref="K10:K20" si="3">H10-G10</f>
        <v>-554</v>
      </c>
      <c r="L10" s="161">
        <f t="shared" ref="L10:L21" si="4">H10-D10</f>
        <v>207479</v>
      </c>
      <c r="M10" s="162">
        <f t="shared" si="0"/>
        <v>0.18023716274695389</v>
      </c>
      <c r="P10" s="160" t="s">
        <v>99</v>
      </c>
      <c r="Q10" s="161">
        <v>26940</v>
      </c>
      <c r="R10" s="161">
        <v>38654</v>
      </c>
      <c r="S10" s="161">
        <v>62976</v>
      </c>
      <c r="T10" s="161">
        <v>76465</v>
      </c>
      <c r="U10" s="161">
        <v>75937</v>
      </c>
      <c r="V10" s="161">
        <v>87725</v>
      </c>
      <c r="W10" s="179">
        <f>IFERROR(V10/U10-1,"-")</f>
        <v>0.1552339439272028</v>
      </c>
      <c r="X10" s="160">
        <f t="shared" ref="X10:X20" si="5">V10-U10</f>
        <v>11788</v>
      </c>
      <c r="Y10" s="162">
        <f t="shared" si="1"/>
        <v>0.62321949971938251</v>
      </c>
    </row>
    <row r="11" spans="1:25" x14ac:dyDescent="0.25">
      <c r="A11" s="163" t="s">
        <v>102</v>
      </c>
      <c r="B11" s="164" t="s">
        <v>105</v>
      </c>
      <c r="C11" s="165">
        <v>53747</v>
      </c>
      <c r="D11" s="165">
        <v>178327</v>
      </c>
      <c r="E11" s="165">
        <v>188636</v>
      </c>
      <c r="F11" s="165">
        <v>198523</v>
      </c>
      <c r="G11" s="165">
        <v>188788</v>
      </c>
      <c r="H11" s="165">
        <v>176794</v>
      </c>
      <c r="I11" s="180">
        <f>IFERROR(H11/G11-1,"-")</f>
        <v>-6.3531580397059084E-2</v>
      </c>
      <c r="J11" s="166">
        <f t="shared" si="2"/>
        <v>-8.5965669808834022E-3</v>
      </c>
      <c r="K11" s="165">
        <f t="shared" si="3"/>
        <v>-11994</v>
      </c>
      <c r="L11" s="165">
        <f t="shared" si="4"/>
        <v>-1533</v>
      </c>
      <c r="M11" s="166">
        <f t="shared" si="0"/>
        <v>6.629712017735831E-2</v>
      </c>
      <c r="P11" s="164" t="s">
        <v>105</v>
      </c>
      <c r="Q11" s="165">
        <v>13715</v>
      </c>
      <c r="R11" s="165">
        <v>20861</v>
      </c>
      <c r="S11" s="165">
        <v>31514</v>
      </c>
      <c r="T11" s="165">
        <v>35561</v>
      </c>
      <c r="U11" s="165">
        <v>34109</v>
      </c>
      <c r="V11" s="165">
        <v>44044</v>
      </c>
      <c r="W11" s="180">
        <f>IFERROR(V11/U11-1,"-")</f>
        <v>0.29127209827318312</v>
      </c>
      <c r="X11" s="164">
        <f t="shared" si="5"/>
        <v>9935</v>
      </c>
      <c r="Y11" s="166">
        <f>V11/V$9</f>
        <v>0.31289916951428309</v>
      </c>
    </row>
    <row r="12" spans="1:25" x14ac:dyDescent="0.25">
      <c r="A12" s="1"/>
      <c r="B12" s="164" t="s">
        <v>102</v>
      </c>
      <c r="C12" s="165">
        <v>90853</v>
      </c>
      <c r="D12" s="165">
        <v>94831</v>
      </c>
      <c r="E12" s="165">
        <v>258592</v>
      </c>
      <c r="F12" s="165">
        <v>288981</v>
      </c>
      <c r="G12" s="165">
        <v>292403</v>
      </c>
      <c r="H12" s="165">
        <v>303843</v>
      </c>
      <c r="I12" s="180">
        <f>IFERROR(H12/G12-1,"-")</f>
        <v>3.9124085594197E-2</v>
      </c>
      <c r="J12" s="166">
        <f t="shared" si="2"/>
        <v>2.2040471997553541</v>
      </c>
      <c r="K12" s="165">
        <f t="shared" si="3"/>
        <v>11440</v>
      </c>
      <c r="L12" s="165">
        <f t="shared" si="4"/>
        <v>209012</v>
      </c>
      <c r="M12" s="166">
        <f t="shared" si="0"/>
        <v>0.11394004256959558</v>
      </c>
      <c r="P12" s="164" t="s">
        <v>102</v>
      </c>
      <c r="Q12" s="165">
        <v>13225</v>
      </c>
      <c r="R12" s="165">
        <v>17793</v>
      </c>
      <c r="S12" s="165">
        <v>31462</v>
      </c>
      <c r="T12" s="165">
        <v>40904</v>
      </c>
      <c r="U12" s="165">
        <v>41828</v>
      </c>
      <c r="V12" s="165">
        <v>43681</v>
      </c>
      <c r="W12" s="180">
        <f>IFERROR(V12/U12-1,"-")</f>
        <v>4.4300468585636521E-2</v>
      </c>
      <c r="X12" s="164">
        <f t="shared" si="5"/>
        <v>1853</v>
      </c>
      <c r="Y12" s="166">
        <f t="shared" si="1"/>
        <v>0.31032033020509942</v>
      </c>
    </row>
    <row r="13" spans="1:25" s="57" customFormat="1" x14ac:dyDescent="0.25">
      <c r="B13" s="160" t="s">
        <v>109</v>
      </c>
      <c r="C13" s="161">
        <v>808443</v>
      </c>
      <c r="D13" s="161">
        <v>247628</v>
      </c>
      <c r="E13" s="161">
        <v>1756173</v>
      </c>
      <c r="F13" s="161">
        <v>2035894</v>
      </c>
      <c r="G13" s="161">
        <v>2204428</v>
      </c>
      <c r="H13" s="161">
        <v>2186055</v>
      </c>
      <c r="I13" s="179">
        <f>IFERROR(H13/G13-1,"-")</f>
        <v>-8.3345883830181489E-3</v>
      </c>
      <c r="J13" s="162">
        <f t="shared" si="2"/>
        <v>7.8279798730353587</v>
      </c>
      <c r="K13" s="161">
        <f t="shared" si="3"/>
        <v>-18373</v>
      </c>
      <c r="L13" s="161">
        <f t="shared" si="4"/>
        <v>1938427</v>
      </c>
      <c r="M13" s="162">
        <f t="shared" si="0"/>
        <v>0.81976283725304611</v>
      </c>
      <c r="P13" s="160" t="s">
        <v>109</v>
      </c>
      <c r="Q13" s="161">
        <v>25913</v>
      </c>
      <c r="R13" s="161">
        <v>20149</v>
      </c>
      <c r="S13" s="161">
        <v>41445</v>
      </c>
      <c r="T13" s="161">
        <v>50111</v>
      </c>
      <c r="U13" s="161">
        <v>49473</v>
      </c>
      <c r="V13" s="161">
        <v>53036</v>
      </c>
      <c r="W13" s="179">
        <f>IFERROR(V13/U13-1,"-")</f>
        <v>7.20190811149517E-2</v>
      </c>
      <c r="X13" s="160">
        <f t="shared" si="5"/>
        <v>3563</v>
      </c>
      <c r="Y13" s="162">
        <f t="shared" si="1"/>
        <v>0.37678050028061749</v>
      </c>
    </row>
    <row r="14" spans="1:25" s="57" customFormat="1" x14ac:dyDescent="0.25">
      <c r="B14" s="164" t="s">
        <v>112</v>
      </c>
      <c r="C14" s="165">
        <v>328596</v>
      </c>
      <c r="D14" s="165">
        <v>13901</v>
      </c>
      <c r="E14" s="165">
        <v>777169</v>
      </c>
      <c r="F14" s="165">
        <v>923966</v>
      </c>
      <c r="G14" s="165">
        <v>1011957</v>
      </c>
      <c r="H14" s="165">
        <v>1011754</v>
      </c>
      <c r="I14" s="180">
        <f t="shared" ref="I14:I21" si="6">IFERROR(H14/G14-1,"-")</f>
        <v>-2.0060140895317158E-4</v>
      </c>
      <c r="J14" s="166">
        <f t="shared" si="2"/>
        <v>71.782821379756854</v>
      </c>
      <c r="K14" s="165">
        <f t="shared" si="3"/>
        <v>-203</v>
      </c>
      <c r="L14" s="165">
        <f t="shared" si="4"/>
        <v>997853</v>
      </c>
      <c r="M14" s="166">
        <f t="shared" si="0"/>
        <v>0.3794041456606162</v>
      </c>
      <c r="P14" s="164" t="s">
        <v>112</v>
      </c>
      <c r="Q14" s="165">
        <v>2810</v>
      </c>
      <c r="R14" s="165">
        <v>615</v>
      </c>
      <c r="S14" s="165">
        <v>4066</v>
      </c>
      <c r="T14" s="165">
        <v>6033</v>
      </c>
      <c r="U14" s="165">
        <v>6038</v>
      </c>
      <c r="V14" s="165">
        <v>5509</v>
      </c>
      <c r="W14" s="180">
        <f t="shared" ref="W14:W21" si="7">IFERROR(V14/U14-1,"-")</f>
        <v>-8.761179198410074E-2</v>
      </c>
      <c r="X14" s="164">
        <f t="shared" si="5"/>
        <v>-529</v>
      </c>
      <c r="Y14" s="166">
        <f t="shared" si="1"/>
        <v>3.9137261031109469E-2</v>
      </c>
    </row>
    <row r="15" spans="1:25" x14ac:dyDescent="0.25">
      <c r="A15" s="1"/>
      <c r="B15" s="164" t="s">
        <v>115</v>
      </c>
      <c r="C15" s="165">
        <v>101980</v>
      </c>
      <c r="D15" s="165">
        <v>37362</v>
      </c>
      <c r="E15" s="165">
        <v>184689</v>
      </c>
      <c r="F15" s="165">
        <v>216766</v>
      </c>
      <c r="G15" s="165">
        <v>229323</v>
      </c>
      <c r="H15" s="165">
        <v>223453</v>
      </c>
      <c r="I15" s="180">
        <f t="shared" si="6"/>
        <v>-2.5597083589522174E-2</v>
      </c>
      <c r="J15" s="166">
        <f t="shared" si="2"/>
        <v>4.9807558481879983</v>
      </c>
      <c r="K15" s="165">
        <f t="shared" si="3"/>
        <v>-5870</v>
      </c>
      <c r="L15" s="165">
        <f t="shared" si="4"/>
        <v>186091</v>
      </c>
      <c r="M15" s="166">
        <f t="shared" si="0"/>
        <v>8.3794078956249921E-2</v>
      </c>
      <c r="P15" s="164" t="s">
        <v>115</v>
      </c>
      <c r="Q15" s="165">
        <v>2894</v>
      </c>
      <c r="R15" s="165">
        <v>2123</v>
      </c>
      <c r="S15" s="165">
        <v>4651</v>
      </c>
      <c r="T15" s="165">
        <v>7604</v>
      </c>
      <c r="U15" s="165">
        <v>7167</v>
      </c>
      <c r="V15" s="165">
        <v>8018</v>
      </c>
      <c r="W15" s="180">
        <f t="shared" si="7"/>
        <v>0.11873866331798522</v>
      </c>
      <c r="X15" s="164">
        <f t="shared" si="5"/>
        <v>851</v>
      </c>
      <c r="Y15" s="166">
        <f t="shared" si="1"/>
        <v>5.6961800498717685E-2</v>
      </c>
    </row>
    <row r="16" spans="1:25" x14ac:dyDescent="0.25">
      <c r="A16" s="1"/>
      <c r="B16" s="164" t="s">
        <v>118</v>
      </c>
      <c r="C16" s="165">
        <v>37379</v>
      </c>
      <c r="D16" s="165">
        <v>43794</v>
      </c>
      <c r="E16" s="165">
        <v>95149</v>
      </c>
      <c r="F16" s="165">
        <v>110039</v>
      </c>
      <c r="G16" s="165">
        <v>118072</v>
      </c>
      <c r="H16" s="165">
        <v>110967</v>
      </c>
      <c r="I16" s="180">
        <f t="shared" si="6"/>
        <v>-6.0175147367707793E-2</v>
      </c>
      <c r="J16" s="166">
        <f t="shared" si="2"/>
        <v>1.5338402520893273</v>
      </c>
      <c r="K16" s="165">
        <f t="shared" si="3"/>
        <v>-7105</v>
      </c>
      <c r="L16" s="165">
        <f t="shared" si="4"/>
        <v>67173</v>
      </c>
      <c r="M16" s="166">
        <f t="shared" si="0"/>
        <v>4.1612229683818003E-2</v>
      </c>
      <c r="P16" s="164" t="s">
        <v>118</v>
      </c>
      <c r="Q16" s="165">
        <v>1950</v>
      </c>
      <c r="R16" s="165">
        <v>2898</v>
      </c>
      <c r="S16" s="165">
        <v>4036</v>
      </c>
      <c r="T16" s="165">
        <v>4476</v>
      </c>
      <c r="U16" s="165">
        <v>4146</v>
      </c>
      <c r="V16" s="165">
        <v>4275</v>
      </c>
      <c r="W16" s="180">
        <f t="shared" si="7"/>
        <v>3.1114327062228719E-2</v>
      </c>
      <c r="X16" s="164">
        <f t="shared" si="5"/>
        <v>129</v>
      </c>
      <c r="Y16" s="166">
        <f t="shared" si="1"/>
        <v>3.0370628227989287E-2</v>
      </c>
    </row>
    <row r="17" spans="1:25" x14ac:dyDescent="0.25">
      <c r="A17" s="1"/>
      <c r="B17" s="164" t="s">
        <v>125</v>
      </c>
      <c r="C17" s="165">
        <v>27598</v>
      </c>
      <c r="D17" s="165">
        <v>9764</v>
      </c>
      <c r="E17" s="165">
        <v>87311</v>
      </c>
      <c r="F17" s="165">
        <v>76308</v>
      </c>
      <c r="G17" s="165">
        <v>83930</v>
      </c>
      <c r="H17" s="165">
        <v>76694</v>
      </c>
      <c r="I17" s="180">
        <f t="shared" si="6"/>
        <v>-8.621470272846421E-2</v>
      </c>
      <c r="J17" s="166">
        <f t="shared" si="2"/>
        <v>6.8547726341663253</v>
      </c>
      <c r="K17" s="165">
        <f t="shared" si="3"/>
        <v>-7236</v>
      </c>
      <c r="L17" s="165">
        <f t="shared" si="4"/>
        <v>66930</v>
      </c>
      <c r="M17" s="166">
        <f t="shared" si="0"/>
        <v>2.8759976780220589E-2</v>
      </c>
      <c r="P17" s="164" t="s">
        <v>125</v>
      </c>
      <c r="Q17" s="165">
        <v>527</v>
      </c>
      <c r="R17" s="165">
        <v>311</v>
      </c>
      <c r="S17" s="165">
        <v>1177</v>
      </c>
      <c r="T17" s="165">
        <v>1213</v>
      </c>
      <c r="U17" s="165">
        <v>1249</v>
      </c>
      <c r="V17" s="165">
        <v>1298</v>
      </c>
      <c r="W17" s="180">
        <f t="shared" si="7"/>
        <v>3.9231385108086547E-2</v>
      </c>
      <c r="X17" s="164">
        <f t="shared" si="5"/>
        <v>49</v>
      </c>
      <c r="Y17" s="166">
        <f t="shared" si="1"/>
        <v>9.2213041964748759E-3</v>
      </c>
    </row>
    <row r="18" spans="1:25" x14ac:dyDescent="0.25">
      <c r="A18" s="1"/>
      <c r="B18" s="164" t="s">
        <v>121</v>
      </c>
      <c r="C18" s="165">
        <v>29529</v>
      </c>
      <c r="D18" s="165">
        <v>13306</v>
      </c>
      <c r="E18" s="165">
        <v>71159</v>
      </c>
      <c r="F18" s="165">
        <v>70191</v>
      </c>
      <c r="G18" s="165">
        <v>75941</v>
      </c>
      <c r="H18" s="165">
        <v>69339</v>
      </c>
      <c r="I18" s="180">
        <f t="shared" si="6"/>
        <v>-8.69359107728368E-2</v>
      </c>
      <c r="J18" s="166">
        <f t="shared" si="2"/>
        <v>4.2111077709304077</v>
      </c>
      <c r="K18" s="165">
        <f t="shared" si="3"/>
        <v>-6602</v>
      </c>
      <c r="L18" s="165">
        <f t="shared" si="4"/>
        <v>56033</v>
      </c>
      <c r="M18" s="166">
        <f t="shared" si="0"/>
        <v>2.600187798215917E-2</v>
      </c>
      <c r="P18" s="164" t="s">
        <v>121</v>
      </c>
      <c r="Q18" s="165">
        <v>455</v>
      </c>
      <c r="R18" s="165">
        <v>305</v>
      </c>
      <c r="S18" s="165">
        <v>877</v>
      </c>
      <c r="T18" s="165">
        <v>940</v>
      </c>
      <c r="U18" s="165">
        <v>1013</v>
      </c>
      <c r="V18" s="165">
        <v>1127</v>
      </c>
      <c r="W18" s="180">
        <f t="shared" si="7"/>
        <v>0.11253701875616984</v>
      </c>
      <c r="X18" s="164">
        <f t="shared" si="5"/>
        <v>114</v>
      </c>
      <c r="Y18" s="166">
        <f t="shared" si="1"/>
        <v>8.006479067355304E-3</v>
      </c>
    </row>
    <row r="19" spans="1:25" x14ac:dyDescent="0.25">
      <c r="A19" s="163" t="s">
        <v>146</v>
      </c>
      <c r="B19" s="164" t="s">
        <v>130</v>
      </c>
      <c r="C19" s="165">
        <v>28346</v>
      </c>
      <c r="D19" s="165">
        <v>804</v>
      </c>
      <c r="E19" s="165">
        <v>32955</v>
      </c>
      <c r="F19" s="165">
        <v>42447</v>
      </c>
      <c r="G19" s="165">
        <v>37444</v>
      </c>
      <c r="H19" s="165">
        <v>36595</v>
      </c>
      <c r="I19" s="180">
        <f t="shared" si="6"/>
        <v>-2.2673859630381377E-2</v>
      </c>
      <c r="J19" s="166">
        <f t="shared" si="2"/>
        <v>44.516169154228855</v>
      </c>
      <c r="K19" s="165">
        <f t="shared" si="3"/>
        <v>-849</v>
      </c>
      <c r="L19" s="165">
        <f t="shared" si="4"/>
        <v>35791</v>
      </c>
      <c r="M19" s="166">
        <f t="shared" si="0"/>
        <v>1.3722994631551E-2</v>
      </c>
      <c r="P19" s="164" t="s">
        <v>130</v>
      </c>
      <c r="Q19" s="165">
        <v>630</v>
      </c>
      <c r="R19" s="165">
        <v>34</v>
      </c>
      <c r="S19" s="165">
        <v>572</v>
      </c>
      <c r="T19" s="165">
        <v>775</v>
      </c>
      <c r="U19" s="165">
        <v>858</v>
      </c>
      <c r="V19" s="165">
        <v>669</v>
      </c>
      <c r="W19" s="180">
        <f t="shared" si="7"/>
        <v>-0.22027972027972031</v>
      </c>
      <c r="X19" s="164">
        <f t="shared" si="5"/>
        <v>-189</v>
      </c>
      <c r="Y19" s="166">
        <f t="shared" si="1"/>
        <v>4.7527369086607799E-3</v>
      </c>
    </row>
    <row r="20" spans="1:25" x14ac:dyDescent="0.25">
      <c r="A20" s="168" t="s">
        <v>147</v>
      </c>
      <c r="B20" s="164" t="s">
        <v>133</v>
      </c>
      <c r="C20" s="165">
        <v>40125</v>
      </c>
      <c r="D20" s="165">
        <v>2595</v>
      </c>
      <c r="E20" s="165">
        <v>26073</v>
      </c>
      <c r="F20" s="165">
        <v>38768</v>
      </c>
      <c r="G20" s="165">
        <v>40388</v>
      </c>
      <c r="H20" s="165">
        <v>32298</v>
      </c>
      <c r="I20" s="180">
        <f t="shared" si="6"/>
        <v>-0.20030702188768945</v>
      </c>
      <c r="J20" s="166">
        <f t="shared" si="2"/>
        <v>11.446242774566475</v>
      </c>
      <c r="K20" s="165">
        <f t="shared" si="3"/>
        <v>-8090</v>
      </c>
      <c r="L20" s="165">
        <f t="shared" si="4"/>
        <v>29703</v>
      </c>
      <c r="M20" s="166">
        <f t="shared" si="0"/>
        <v>1.2111634939468076E-2</v>
      </c>
      <c r="P20" s="164" t="s">
        <v>133</v>
      </c>
      <c r="Q20" s="165">
        <v>970</v>
      </c>
      <c r="R20" s="165">
        <v>141</v>
      </c>
      <c r="S20" s="165">
        <v>1030</v>
      </c>
      <c r="T20" s="165">
        <v>1454</v>
      </c>
      <c r="U20" s="165">
        <v>1318</v>
      </c>
      <c r="V20" s="165">
        <v>1364</v>
      </c>
      <c r="W20" s="180">
        <f t="shared" si="7"/>
        <v>3.4901365705614529E-2</v>
      </c>
      <c r="X20" s="164">
        <f t="shared" si="5"/>
        <v>46</v>
      </c>
      <c r="Y20" s="166">
        <f t="shared" si="1"/>
        <v>9.6901840708719031E-3</v>
      </c>
    </row>
    <row r="21" spans="1:25" x14ac:dyDescent="0.25">
      <c r="B21" s="169" t="s">
        <v>147</v>
      </c>
      <c r="C21" s="170">
        <f t="shared" ref="C21" si="8">C13-SUM(C14:C20)</f>
        <v>214890</v>
      </c>
      <c r="D21" s="170">
        <f t="shared" ref="D21:E21" si="9">D13-SUM(D14:D20)</f>
        <v>126102</v>
      </c>
      <c r="E21" s="170">
        <f t="shared" si="9"/>
        <v>481668</v>
      </c>
      <c r="F21" s="170">
        <f t="shared" ref="F21:H21" si="10">F13-SUM(F14:F20)</f>
        <v>557409</v>
      </c>
      <c r="G21" s="170">
        <f t="shared" si="10"/>
        <v>607373</v>
      </c>
      <c r="H21" s="170">
        <f t="shared" si="10"/>
        <v>624955</v>
      </c>
      <c r="I21" s="181">
        <f t="shared" si="6"/>
        <v>2.8947615386261782E-2</v>
      </c>
      <c r="J21" s="171">
        <f t="shared" si="2"/>
        <v>3.9559483592647222</v>
      </c>
      <c r="K21" s="170">
        <f>H21-G21</f>
        <v>17582</v>
      </c>
      <c r="L21" s="170">
        <f t="shared" si="4"/>
        <v>498853</v>
      </c>
      <c r="M21" s="171">
        <f t="shared" si="0"/>
        <v>0.23435589861896311</v>
      </c>
      <c r="P21" s="169" t="s">
        <v>147</v>
      </c>
      <c r="Q21" s="170">
        <f t="shared" ref="Q21:V21" si="11">Q13-SUM(Q14:Q20)</f>
        <v>15677</v>
      </c>
      <c r="R21" s="170">
        <f t="shared" si="11"/>
        <v>13722</v>
      </c>
      <c r="S21" s="170">
        <f t="shared" si="11"/>
        <v>25036</v>
      </c>
      <c r="T21" s="170">
        <f t="shared" si="11"/>
        <v>27616</v>
      </c>
      <c r="U21" s="170">
        <f t="shared" si="11"/>
        <v>27684</v>
      </c>
      <c r="V21" s="170">
        <f t="shared" si="11"/>
        <v>30776</v>
      </c>
      <c r="W21" s="181">
        <f t="shared" si="7"/>
        <v>0.11168906227423792</v>
      </c>
      <c r="X21" s="169">
        <f>V21-U21</f>
        <v>3092</v>
      </c>
      <c r="Y21" s="171">
        <f t="shared" si="1"/>
        <v>0.2186401062794382</v>
      </c>
    </row>
    <row r="22" spans="1:25" x14ac:dyDescent="0.25">
      <c r="B22" s="156" t="s">
        <v>46</v>
      </c>
      <c r="C22" s="154"/>
      <c r="D22" s="154"/>
      <c r="E22" s="154"/>
      <c r="F22" s="154"/>
      <c r="G22" s="154"/>
      <c r="H22" s="154"/>
      <c r="I22" s="155"/>
      <c r="J22" s="155"/>
      <c r="K22" s="155"/>
      <c r="L22" s="154"/>
      <c r="M22" s="154"/>
    </row>
    <row r="23" spans="1:25" x14ac:dyDescent="0.25">
      <c r="B23" s="157" t="s">
        <v>70</v>
      </c>
      <c r="C23" s="177">
        <v>344170</v>
      </c>
      <c r="D23" s="177">
        <v>187853</v>
      </c>
      <c r="E23" s="177">
        <v>828210</v>
      </c>
      <c r="F23" s="177">
        <v>916045</v>
      </c>
      <c r="G23" s="177">
        <v>958917</v>
      </c>
      <c r="H23" s="177">
        <v>917365</v>
      </c>
      <c r="I23" s="178">
        <f>IFERROR(H23/G23-1,"-")</f>
        <v>-4.3332217491190539E-2</v>
      </c>
      <c r="J23" s="178">
        <f>IFERROR(H23/D23-1,"-")</f>
        <v>3.8834194822547419</v>
      </c>
      <c r="K23" s="177">
        <f>H23-G23</f>
        <v>-41552</v>
      </c>
      <c r="L23" s="177">
        <f>H23-D23</f>
        <v>729512</v>
      </c>
      <c r="M23" s="178">
        <f t="shared" ref="M23:M35" si="12">H23/H$9</f>
        <v>0.34400860691823426</v>
      </c>
    </row>
    <row r="24" spans="1:25" x14ac:dyDescent="0.25">
      <c r="B24" s="160" t="s">
        <v>99</v>
      </c>
      <c r="C24" s="161">
        <v>20277</v>
      </c>
      <c r="D24" s="161">
        <v>95817</v>
      </c>
      <c r="E24" s="161">
        <v>88551</v>
      </c>
      <c r="F24" s="161">
        <v>80662</v>
      </c>
      <c r="G24" s="161">
        <v>69210</v>
      </c>
      <c r="H24" s="161">
        <v>63041</v>
      </c>
      <c r="I24" s="179">
        <f>IFERROR(H24/G24-1,"-")</f>
        <v>-8.9134518133217711E-2</v>
      </c>
      <c r="J24" s="162">
        <f t="shared" ref="J24:J35" si="13">IFERROR(H24/D24-1,"-")</f>
        <v>-0.34206873519312853</v>
      </c>
      <c r="K24" s="161">
        <f t="shared" ref="K24:K34" si="14">H24-G24</f>
        <v>-6169</v>
      </c>
      <c r="L24" s="161">
        <f t="shared" ref="L24:L35" si="15">H24-D24</f>
        <v>-32776</v>
      </c>
      <c r="M24" s="162">
        <f t="shared" si="12"/>
        <v>2.3640150418571024E-2</v>
      </c>
    </row>
    <row r="25" spans="1:25" x14ac:dyDescent="0.25">
      <c r="B25" s="164" t="s">
        <v>105</v>
      </c>
      <c r="C25" s="165">
        <v>9378</v>
      </c>
      <c r="D25" s="165">
        <v>60456</v>
      </c>
      <c r="E25" s="165">
        <v>40042</v>
      </c>
      <c r="F25" s="165">
        <v>34459</v>
      </c>
      <c r="G25" s="165">
        <v>26251</v>
      </c>
      <c r="H25" s="165">
        <v>27157</v>
      </c>
      <c r="I25" s="180">
        <f>IFERROR(H25/G25-1,"-")</f>
        <v>3.4512970934440501E-2</v>
      </c>
      <c r="J25" s="166">
        <f t="shared" si="13"/>
        <v>-0.55079727405054912</v>
      </c>
      <c r="K25" s="165">
        <f t="shared" si="14"/>
        <v>906</v>
      </c>
      <c r="L25" s="165">
        <f t="shared" si="15"/>
        <v>-33299</v>
      </c>
      <c r="M25" s="166">
        <f t="shared" si="12"/>
        <v>1.0183778254106586E-2</v>
      </c>
    </row>
    <row r="26" spans="1:25" x14ac:dyDescent="0.25">
      <c r="B26" s="164" t="s">
        <v>102</v>
      </c>
      <c r="C26" s="165">
        <v>10899</v>
      </c>
      <c r="D26" s="165">
        <v>35361</v>
      </c>
      <c r="E26" s="165">
        <v>48509</v>
      </c>
      <c r="F26" s="165">
        <v>46203</v>
      </c>
      <c r="G26" s="165">
        <v>42959</v>
      </c>
      <c r="H26" s="165">
        <v>35884</v>
      </c>
      <c r="I26" s="180">
        <f>IFERROR(H26/G26-1,"-")</f>
        <v>-0.16469191554738238</v>
      </c>
      <c r="J26" s="166">
        <f t="shared" si="13"/>
        <v>1.4790305704024176E-2</v>
      </c>
      <c r="K26" s="165">
        <f t="shared" si="14"/>
        <v>-7075</v>
      </c>
      <c r="L26" s="165">
        <f t="shared" si="15"/>
        <v>523</v>
      </c>
      <c r="M26" s="166">
        <f t="shared" si="12"/>
        <v>1.3456372164464438E-2</v>
      </c>
    </row>
    <row r="27" spans="1:25" x14ac:dyDescent="0.25">
      <c r="B27" s="160" t="s">
        <v>109</v>
      </c>
      <c r="C27" s="161">
        <v>323893</v>
      </c>
      <c r="D27" s="161">
        <v>92036</v>
      </c>
      <c r="E27" s="161">
        <v>739659</v>
      </c>
      <c r="F27" s="161">
        <v>835383</v>
      </c>
      <c r="G27" s="161">
        <v>889707</v>
      </c>
      <c r="H27" s="161">
        <v>854324</v>
      </c>
      <c r="I27" s="179">
        <f>IFERROR(H27/G27-1,"-")</f>
        <v>-3.9769272355955398E-2</v>
      </c>
      <c r="J27" s="162">
        <f t="shared" si="13"/>
        <v>8.282498152896693</v>
      </c>
      <c r="K27" s="161">
        <f t="shared" si="14"/>
        <v>-35383</v>
      </c>
      <c r="L27" s="161">
        <f t="shared" si="15"/>
        <v>762288</v>
      </c>
      <c r="M27" s="162">
        <f t="shared" si="12"/>
        <v>0.32036845649966328</v>
      </c>
    </row>
    <row r="28" spans="1:25" x14ac:dyDescent="0.25">
      <c r="B28" s="164" t="s">
        <v>112</v>
      </c>
      <c r="C28" s="165">
        <v>148381</v>
      </c>
      <c r="D28" s="165">
        <v>5349</v>
      </c>
      <c r="E28" s="165">
        <v>361447</v>
      </c>
      <c r="F28" s="165">
        <v>422789</v>
      </c>
      <c r="G28" s="165">
        <v>457952</v>
      </c>
      <c r="H28" s="165">
        <v>447513</v>
      </c>
      <c r="I28" s="180">
        <f t="shared" ref="I28:I35" si="16">IFERROR(H28/G28-1,"-")</f>
        <v>-2.2794965411222168E-2</v>
      </c>
      <c r="J28" s="166">
        <f t="shared" si="13"/>
        <v>82.662927650028038</v>
      </c>
      <c r="K28" s="165">
        <f t="shared" si="14"/>
        <v>-10439</v>
      </c>
      <c r="L28" s="165">
        <f t="shared" si="15"/>
        <v>442164</v>
      </c>
      <c r="M28" s="166">
        <f t="shared" si="12"/>
        <v>0.16781578075008288</v>
      </c>
    </row>
    <row r="29" spans="1:25" x14ac:dyDescent="0.25">
      <c r="B29" s="164" t="s">
        <v>115</v>
      </c>
      <c r="C29" s="165">
        <v>39437</v>
      </c>
      <c r="D29" s="165">
        <v>15132</v>
      </c>
      <c r="E29" s="165">
        <v>80630</v>
      </c>
      <c r="F29" s="165">
        <v>90058</v>
      </c>
      <c r="G29" s="165">
        <v>91741</v>
      </c>
      <c r="H29" s="165">
        <v>84563</v>
      </c>
      <c r="I29" s="180">
        <f t="shared" si="16"/>
        <v>-7.8242007390370683E-2</v>
      </c>
      <c r="J29" s="166">
        <f t="shared" si="13"/>
        <v>4.5883558022733277</v>
      </c>
      <c r="K29" s="165">
        <f t="shared" si="14"/>
        <v>-7178</v>
      </c>
      <c r="L29" s="165">
        <f t="shared" si="15"/>
        <v>69431</v>
      </c>
      <c r="M29" s="166">
        <f t="shared" si="12"/>
        <v>3.1710823747174405E-2</v>
      </c>
    </row>
    <row r="30" spans="1:25" x14ac:dyDescent="0.25">
      <c r="B30" s="164" t="s">
        <v>118</v>
      </c>
      <c r="C30" s="165">
        <v>12858</v>
      </c>
      <c r="D30" s="165">
        <v>15269</v>
      </c>
      <c r="E30" s="165">
        <v>31532</v>
      </c>
      <c r="F30" s="165">
        <v>32800</v>
      </c>
      <c r="G30" s="165">
        <v>31808</v>
      </c>
      <c r="H30" s="165">
        <v>26672</v>
      </c>
      <c r="I30" s="180">
        <f t="shared" si="16"/>
        <v>-0.16146881287726356</v>
      </c>
      <c r="J30" s="166">
        <f t="shared" si="13"/>
        <v>0.7468072565328443</v>
      </c>
      <c r="K30" s="165">
        <f t="shared" si="14"/>
        <v>-5136</v>
      </c>
      <c r="L30" s="165">
        <f t="shared" si="15"/>
        <v>11403</v>
      </c>
      <c r="M30" s="166">
        <f t="shared" si="12"/>
        <v>1.0001904981902673E-2</v>
      </c>
    </row>
    <row r="31" spans="1:25" x14ac:dyDescent="0.25">
      <c r="B31" s="164" t="s">
        <v>125</v>
      </c>
      <c r="C31" s="165">
        <v>12503</v>
      </c>
      <c r="D31" s="165">
        <v>3959</v>
      </c>
      <c r="E31" s="165">
        <v>40403</v>
      </c>
      <c r="F31" s="165">
        <v>33993</v>
      </c>
      <c r="G31" s="165">
        <v>35087</v>
      </c>
      <c r="H31" s="165">
        <v>31864</v>
      </c>
      <c r="I31" s="180">
        <f t="shared" si="16"/>
        <v>-9.185738307635305E-2</v>
      </c>
      <c r="J31" s="166">
        <f t="shared" si="13"/>
        <v>7.0484970952260664</v>
      </c>
      <c r="K31" s="165">
        <f t="shared" si="14"/>
        <v>-3223</v>
      </c>
      <c r="L31" s="165">
        <f t="shared" si="15"/>
        <v>27905</v>
      </c>
      <c r="M31" s="166">
        <f t="shared" si="12"/>
        <v>1.1948886485578387E-2</v>
      </c>
    </row>
    <row r="32" spans="1:25" x14ac:dyDescent="0.25">
      <c r="B32" s="164" t="s">
        <v>121</v>
      </c>
      <c r="C32" s="165">
        <v>15876</v>
      </c>
      <c r="D32" s="165">
        <v>7485</v>
      </c>
      <c r="E32" s="165">
        <v>41694</v>
      </c>
      <c r="F32" s="165">
        <v>37923</v>
      </c>
      <c r="G32" s="165">
        <v>39409</v>
      </c>
      <c r="H32" s="165">
        <v>37635</v>
      </c>
      <c r="I32" s="180">
        <f t="shared" si="16"/>
        <v>-4.5015098074044024E-2</v>
      </c>
      <c r="J32" s="166">
        <f t="shared" si="13"/>
        <v>4.0280561122244487</v>
      </c>
      <c r="K32" s="165">
        <f t="shared" si="14"/>
        <v>-1774</v>
      </c>
      <c r="L32" s="165">
        <f t="shared" si="15"/>
        <v>30150</v>
      </c>
      <c r="M32" s="166">
        <f t="shared" si="12"/>
        <v>1.4112990926586197E-2</v>
      </c>
    </row>
    <row r="33" spans="2:13" x14ac:dyDescent="0.25">
      <c r="B33" s="164" t="s">
        <v>130</v>
      </c>
      <c r="C33" s="165">
        <v>11519</v>
      </c>
      <c r="D33" s="165">
        <v>171</v>
      </c>
      <c r="E33" s="165">
        <v>12934</v>
      </c>
      <c r="F33" s="165">
        <v>15227</v>
      </c>
      <c r="G33" s="165">
        <v>13710</v>
      </c>
      <c r="H33" s="165">
        <v>12915</v>
      </c>
      <c r="I33" s="180">
        <f t="shared" si="16"/>
        <v>-5.7986870897155374E-2</v>
      </c>
      <c r="J33" s="166">
        <f t="shared" si="13"/>
        <v>74.526315789473685</v>
      </c>
      <c r="K33" s="165">
        <f t="shared" si="14"/>
        <v>-795</v>
      </c>
      <c r="L33" s="165">
        <f t="shared" si="15"/>
        <v>12744</v>
      </c>
      <c r="M33" s="166">
        <f t="shared" si="12"/>
        <v>4.8430789907495881E-3</v>
      </c>
    </row>
    <row r="34" spans="2:13" x14ac:dyDescent="0.25">
      <c r="B34" s="164" t="s">
        <v>133</v>
      </c>
      <c r="C34" s="165">
        <v>12800</v>
      </c>
      <c r="D34" s="165">
        <v>345</v>
      </c>
      <c r="E34" s="165">
        <v>7945</v>
      </c>
      <c r="F34" s="165">
        <v>13662</v>
      </c>
      <c r="G34" s="165">
        <v>13350</v>
      </c>
      <c r="H34" s="165">
        <v>10856</v>
      </c>
      <c r="I34" s="180">
        <f t="shared" si="16"/>
        <v>-0.18681647940074908</v>
      </c>
      <c r="J34" s="166">
        <f t="shared" si="13"/>
        <v>30.466666666666665</v>
      </c>
      <c r="K34" s="165">
        <f t="shared" si="14"/>
        <v>-2494</v>
      </c>
      <c r="L34" s="165">
        <f t="shared" si="15"/>
        <v>10511</v>
      </c>
      <c r="M34" s="166">
        <f t="shared" si="12"/>
        <v>4.0709613258674039E-3</v>
      </c>
    </row>
    <row r="35" spans="2:13" x14ac:dyDescent="0.25">
      <c r="B35" s="169" t="s">
        <v>147</v>
      </c>
      <c r="C35" s="170">
        <f t="shared" ref="C35" si="17">C27-SUM(C28:C34)</f>
        <v>70519</v>
      </c>
      <c r="D35" s="170">
        <f t="shared" ref="D35:E35" si="18">D27-SUM(D28:D34)</f>
        <v>44326</v>
      </c>
      <c r="E35" s="170">
        <f t="shared" si="18"/>
        <v>163074</v>
      </c>
      <c r="F35" s="170">
        <f t="shared" ref="F35:H35" si="19">F27-SUM(F28:F34)</f>
        <v>188931</v>
      </c>
      <c r="G35" s="170">
        <f t="shared" si="19"/>
        <v>206650</v>
      </c>
      <c r="H35" s="170">
        <f t="shared" si="19"/>
        <v>202306</v>
      </c>
      <c r="I35" s="181">
        <f t="shared" si="16"/>
        <v>-2.1021050084684245E-2</v>
      </c>
      <c r="J35" s="171">
        <f t="shared" si="13"/>
        <v>3.5640481884221451</v>
      </c>
      <c r="K35" s="170">
        <f>H35-G35</f>
        <v>-4344</v>
      </c>
      <c r="L35" s="170">
        <f t="shared" si="15"/>
        <v>157980</v>
      </c>
      <c r="M35" s="171">
        <f t="shared" si="12"/>
        <v>7.586402929172173E-2</v>
      </c>
    </row>
    <row r="36" spans="2:13" x14ac:dyDescent="0.25">
      <c r="B36" s="156" t="s">
        <v>47</v>
      </c>
      <c r="C36" s="154"/>
      <c r="D36" s="154"/>
      <c r="E36" s="154"/>
      <c r="F36" s="154"/>
      <c r="G36" s="154"/>
      <c r="H36" s="154"/>
      <c r="I36" s="155"/>
      <c r="J36" s="155"/>
      <c r="K36" s="155"/>
      <c r="L36" s="154"/>
      <c r="M36" s="154"/>
    </row>
    <row r="37" spans="2:13" x14ac:dyDescent="0.25">
      <c r="B37" s="157" t="s">
        <v>70</v>
      </c>
      <c r="C37" s="177">
        <v>249277</v>
      </c>
      <c r="D37" s="177">
        <v>81359</v>
      </c>
      <c r="E37" s="177">
        <v>573119</v>
      </c>
      <c r="F37" s="177">
        <v>637900</v>
      </c>
      <c r="G37" s="177">
        <v>674898</v>
      </c>
      <c r="H37" s="177">
        <v>696244</v>
      </c>
      <c r="I37" s="178">
        <f>IFERROR(H37/G37-1,"-")</f>
        <v>3.1628483118930628E-2</v>
      </c>
      <c r="J37" s="178">
        <f>IFERROR(H37/D37-1,"-")</f>
        <v>7.5576764709497422</v>
      </c>
      <c r="K37" s="177">
        <f>H37-G37</f>
        <v>21346</v>
      </c>
      <c r="L37" s="177">
        <f>H37-D37</f>
        <v>614885</v>
      </c>
      <c r="M37" s="178">
        <f t="shared" ref="M37:M49" si="20">H37/H$9</f>
        <v>0.2610890196543133</v>
      </c>
    </row>
    <row r="38" spans="2:13" x14ac:dyDescent="0.25">
      <c r="B38" s="160" t="s">
        <v>99</v>
      </c>
      <c r="C38" s="161">
        <v>13953</v>
      </c>
      <c r="D38" s="161">
        <v>26737</v>
      </c>
      <c r="E38" s="161">
        <v>51285</v>
      </c>
      <c r="F38" s="161">
        <v>49212</v>
      </c>
      <c r="G38" s="161">
        <v>46569</v>
      </c>
      <c r="H38" s="161">
        <v>49677</v>
      </c>
      <c r="I38" s="179">
        <f>IFERROR(H38/G38-1,"-")</f>
        <v>6.6739676608903009E-2</v>
      </c>
      <c r="J38" s="162">
        <f t="shared" ref="J38:J49" si="21">IFERROR(H38/D38-1,"-")</f>
        <v>0.85798705913154061</v>
      </c>
      <c r="K38" s="161">
        <f t="shared" ref="K38:K48" si="22">H38-G38</f>
        <v>3108</v>
      </c>
      <c r="L38" s="161">
        <f t="shared" ref="L38:L49" si="23">H38-D38</f>
        <v>22940</v>
      </c>
      <c r="M38" s="162">
        <f t="shared" si="20"/>
        <v>1.8628698027368738E-2</v>
      </c>
    </row>
    <row r="39" spans="2:13" x14ac:dyDescent="0.25">
      <c r="B39" s="164" t="s">
        <v>105</v>
      </c>
      <c r="C39" s="165">
        <v>5079</v>
      </c>
      <c r="D39" s="165">
        <v>20805</v>
      </c>
      <c r="E39" s="165">
        <v>20975</v>
      </c>
      <c r="F39" s="165">
        <v>20053</v>
      </c>
      <c r="G39" s="165">
        <v>20039</v>
      </c>
      <c r="H39" s="165">
        <v>20361</v>
      </c>
      <c r="I39" s="180">
        <f>IFERROR(H39/G39-1,"-")</f>
        <v>1.6068666101102913E-2</v>
      </c>
      <c r="J39" s="166">
        <f t="shared" si="21"/>
        <v>-2.1341023792357583E-2</v>
      </c>
      <c r="K39" s="165">
        <f t="shared" si="22"/>
        <v>322</v>
      </c>
      <c r="L39" s="165">
        <f t="shared" si="23"/>
        <v>-444</v>
      </c>
      <c r="M39" s="166">
        <f t="shared" si="20"/>
        <v>7.6353024646265864E-3</v>
      </c>
    </row>
    <row r="40" spans="2:13" x14ac:dyDescent="0.25">
      <c r="B40" s="164" t="s">
        <v>102</v>
      </c>
      <c r="C40" s="165">
        <v>8874</v>
      </c>
      <c r="D40" s="165">
        <v>5932</v>
      </c>
      <c r="E40" s="165">
        <v>30310</v>
      </c>
      <c r="F40" s="165">
        <v>29159</v>
      </c>
      <c r="G40" s="165">
        <v>26530</v>
      </c>
      <c r="H40" s="165">
        <v>29316</v>
      </c>
      <c r="I40" s="180">
        <f>IFERROR(H40/G40-1,"-")</f>
        <v>0.10501319261213715</v>
      </c>
      <c r="J40" s="166">
        <f t="shared" si="21"/>
        <v>3.9420094403236678</v>
      </c>
      <c r="K40" s="165">
        <f t="shared" si="22"/>
        <v>2786</v>
      </c>
      <c r="L40" s="165">
        <f t="shared" si="23"/>
        <v>23384</v>
      </c>
      <c r="M40" s="166">
        <f t="shared" si="20"/>
        <v>1.0993395562742155E-2</v>
      </c>
    </row>
    <row r="41" spans="2:13" x14ac:dyDescent="0.25">
      <c r="B41" s="160" t="s">
        <v>109</v>
      </c>
      <c r="C41" s="161">
        <v>235324</v>
      </c>
      <c r="D41" s="161">
        <v>54622</v>
      </c>
      <c r="E41" s="161">
        <v>521834</v>
      </c>
      <c r="F41" s="161">
        <v>588688</v>
      </c>
      <c r="G41" s="161">
        <v>628329</v>
      </c>
      <c r="H41" s="161">
        <v>646567</v>
      </c>
      <c r="I41" s="179">
        <f>IFERROR(H41/G41-1,"-")</f>
        <v>2.902619487561453E-2</v>
      </c>
      <c r="J41" s="162">
        <f t="shared" si="21"/>
        <v>10.837116912599319</v>
      </c>
      <c r="K41" s="161">
        <f t="shared" si="22"/>
        <v>18238</v>
      </c>
      <c r="L41" s="161">
        <f t="shared" si="23"/>
        <v>591945</v>
      </c>
      <c r="M41" s="162">
        <f t="shared" si="20"/>
        <v>0.24246032162694453</v>
      </c>
    </row>
    <row r="42" spans="2:13" x14ac:dyDescent="0.25">
      <c r="B42" s="164" t="s">
        <v>112</v>
      </c>
      <c r="C42" s="165">
        <v>106790</v>
      </c>
      <c r="D42" s="165">
        <v>2559</v>
      </c>
      <c r="E42" s="165">
        <v>258001</v>
      </c>
      <c r="F42" s="165">
        <v>299812</v>
      </c>
      <c r="G42" s="165">
        <v>329183</v>
      </c>
      <c r="H42" s="165">
        <v>336533</v>
      </c>
      <c r="I42" s="180">
        <f t="shared" ref="I42:I49" si="24">IFERROR(H42/G42-1,"-")</f>
        <v>2.2328006002740208E-2</v>
      </c>
      <c r="J42" s="166">
        <f t="shared" si="21"/>
        <v>130.5095740523642</v>
      </c>
      <c r="K42" s="165">
        <f t="shared" si="22"/>
        <v>7350</v>
      </c>
      <c r="L42" s="165">
        <f t="shared" si="23"/>
        <v>333974</v>
      </c>
      <c r="M42" s="166">
        <f t="shared" si="20"/>
        <v>0.12619867611257693</v>
      </c>
    </row>
    <row r="43" spans="2:13" x14ac:dyDescent="0.25">
      <c r="B43" s="164" t="s">
        <v>115</v>
      </c>
      <c r="C43" s="165">
        <v>11703</v>
      </c>
      <c r="D43" s="165">
        <v>3952</v>
      </c>
      <c r="E43" s="165">
        <v>18219</v>
      </c>
      <c r="F43" s="165">
        <v>22787</v>
      </c>
      <c r="G43" s="165">
        <v>22382</v>
      </c>
      <c r="H43" s="165">
        <v>24097</v>
      </c>
      <c r="I43" s="180">
        <f t="shared" si="24"/>
        <v>7.6624072915735919E-2</v>
      </c>
      <c r="J43" s="166">
        <f t="shared" si="21"/>
        <v>5.0974190283400809</v>
      </c>
      <c r="K43" s="165">
        <f t="shared" si="22"/>
        <v>1715</v>
      </c>
      <c r="L43" s="165">
        <f t="shared" si="23"/>
        <v>20145</v>
      </c>
      <c r="M43" s="166">
        <f t="shared" si="20"/>
        <v>9.0362891552530251E-3</v>
      </c>
    </row>
    <row r="44" spans="2:13" x14ac:dyDescent="0.25">
      <c r="B44" s="164" t="s">
        <v>118</v>
      </c>
      <c r="C44" s="165">
        <v>5799</v>
      </c>
      <c r="D44" s="165">
        <v>6900</v>
      </c>
      <c r="E44" s="165">
        <v>13142</v>
      </c>
      <c r="F44" s="165">
        <v>14887</v>
      </c>
      <c r="G44" s="165">
        <v>14681</v>
      </c>
      <c r="H44" s="165">
        <v>15392</v>
      </c>
      <c r="I44" s="180">
        <f t="shared" si="24"/>
        <v>4.8429943464341596E-2</v>
      </c>
      <c r="J44" s="166">
        <f t="shared" si="21"/>
        <v>1.2307246376811594</v>
      </c>
      <c r="K44" s="165">
        <f t="shared" si="22"/>
        <v>711</v>
      </c>
      <c r="L44" s="165">
        <f t="shared" si="23"/>
        <v>8492</v>
      </c>
      <c r="M44" s="166">
        <f t="shared" si="20"/>
        <v>5.7719451665209183E-3</v>
      </c>
    </row>
    <row r="45" spans="2:13" x14ac:dyDescent="0.25">
      <c r="B45" s="164" t="s">
        <v>125</v>
      </c>
      <c r="C45" s="165">
        <v>10447</v>
      </c>
      <c r="D45" s="165">
        <v>3137</v>
      </c>
      <c r="E45" s="165">
        <v>29047</v>
      </c>
      <c r="F45" s="165">
        <v>25444</v>
      </c>
      <c r="G45" s="165">
        <v>27572</v>
      </c>
      <c r="H45" s="165">
        <v>24677</v>
      </c>
      <c r="I45" s="180">
        <f t="shared" si="24"/>
        <v>-0.10499782387929779</v>
      </c>
      <c r="J45" s="166">
        <f t="shared" si="21"/>
        <v>6.8664328976729356</v>
      </c>
      <c r="K45" s="165">
        <f t="shared" si="22"/>
        <v>-2895</v>
      </c>
      <c r="L45" s="165">
        <f t="shared" si="23"/>
        <v>21540</v>
      </c>
      <c r="M45" s="166">
        <f t="shared" si="20"/>
        <v>9.253787089022655E-3</v>
      </c>
    </row>
    <row r="46" spans="2:13" x14ac:dyDescent="0.25">
      <c r="B46" s="164" t="s">
        <v>121</v>
      </c>
      <c r="C46" s="165">
        <v>9027</v>
      </c>
      <c r="D46" s="165">
        <v>2375</v>
      </c>
      <c r="E46" s="165">
        <v>17758</v>
      </c>
      <c r="F46" s="165">
        <v>20301</v>
      </c>
      <c r="G46" s="165">
        <v>22004</v>
      </c>
      <c r="H46" s="165">
        <v>18376</v>
      </c>
      <c r="I46" s="180">
        <f t="shared" si="24"/>
        <v>-0.16487911288856572</v>
      </c>
      <c r="J46" s="166">
        <f t="shared" si="21"/>
        <v>6.7372631578947368</v>
      </c>
      <c r="K46" s="165">
        <f t="shared" si="22"/>
        <v>-3628</v>
      </c>
      <c r="L46" s="165">
        <f t="shared" si="23"/>
        <v>16001</v>
      </c>
      <c r="M46" s="166">
        <f t="shared" si="20"/>
        <v>6.8909345361219069E-3</v>
      </c>
    </row>
    <row r="47" spans="2:13" x14ac:dyDescent="0.25">
      <c r="B47" s="164" t="s">
        <v>130</v>
      </c>
      <c r="C47" s="165">
        <v>9587</v>
      </c>
      <c r="D47" s="165">
        <v>366</v>
      </c>
      <c r="E47" s="165">
        <v>12294</v>
      </c>
      <c r="F47" s="165">
        <v>14447</v>
      </c>
      <c r="G47" s="165">
        <v>12973</v>
      </c>
      <c r="H47" s="165">
        <v>13399</v>
      </c>
      <c r="I47" s="180">
        <f t="shared" si="24"/>
        <v>3.2837431588684129E-2</v>
      </c>
      <c r="J47" s="166">
        <f t="shared" si="21"/>
        <v>35.60928961748634</v>
      </c>
      <c r="K47" s="165">
        <f t="shared" si="22"/>
        <v>426</v>
      </c>
      <c r="L47" s="165">
        <f t="shared" si="23"/>
        <v>13033</v>
      </c>
      <c r="M47" s="166">
        <f t="shared" si="20"/>
        <v>5.0245772665159678E-3</v>
      </c>
    </row>
    <row r="48" spans="2:13" x14ac:dyDescent="0.25">
      <c r="B48" s="164" t="s">
        <v>133</v>
      </c>
      <c r="C48" s="165">
        <v>15367</v>
      </c>
      <c r="D48" s="165">
        <v>1525</v>
      </c>
      <c r="E48" s="165">
        <v>11366</v>
      </c>
      <c r="F48" s="165">
        <v>14222</v>
      </c>
      <c r="G48" s="165">
        <v>14777</v>
      </c>
      <c r="H48" s="165">
        <v>11522</v>
      </c>
      <c r="I48" s="180">
        <f t="shared" si="24"/>
        <v>-0.22027475130270013</v>
      </c>
      <c r="J48" s="166">
        <f t="shared" si="21"/>
        <v>6.5554098360655741</v>
      </c>
      <c r="K48" s="165">
        <f t="shared" si="22"/>
        <v>-3255</v>
      </c>
      <c r="L48" s="165">
        <f t="shared" si="23"/>
        <v>9997</v>
      </c>
      <c r="M48" s="166">
        <f t="shared" si="20"/>
        <v>4.3207089532649439E-3</v>
      </c>
    </row>
    <row r="49" spans="2:13" x14ac:dyDescent="0.25">
      <c r="B49" s="169" t="s">
        <v>147</v>
      </c>
      <c r="C49" s="170">
        <f t="shared" ref="C49" si="25">C41-SUM(C42:C48)</f>
        <v>66604</v>
      </c>
      <c r="D49" s="170">
        <f t="shared" ref="D49:E49" si="26">D41-SUM(D42:D48)</f>
        <v>33808</v>
      </c>
      <c r="E49" s="170">
        <f t="shared" si="26"/>
        <v>162007</v>
      </c>
      <c r="F49" s="170">
        <f t="shared" ref="F49:H49" si="27">F41-SUM(F42:F48)</f>
        <v>176788</v>
      </c>
      <c r="G49" s="170">
        <f t="shared" si="27"/>
        <v>184757</v>
      </c>
      <c r="H49" s="170">
        <f t="shared" si="27"/>
        <v>202571</v>
      </c>
      <c r="I49" s="181">
        <f t="shared" si="24"/>
        <v>9.6418538945750365E-2</v>
      </c>
      <c r="J49" s="171">
        <f t="shared" si="21"/>
        <v>4.9918066729768098</v>
      </c>
      <c r="K49" s="170">
        <f>H49-G49</f>
        <v>17814</v>
      </c>
      <c r="L49" s="170">
        <f t="shared" si="23"/>
        <v>168763</v>
      </c>
      <c r="M49" s="171">
        <f t="shared" si="20"/>
        <v>7.5963403347668199E-2</v>
      </c>
    </row>
    <row r="50" spans="2:13" x14ac:dyDescent="0.25">
      <c r="B50" s="156" t="s">
        <v>48</v>
      </c>
      <c r="C50" s="154"/>
      <c r="D50" s="154"/>
      <c r="E50" s="154"/>
      <c r="F50" s="154"/>
      <c r="G50" s="154"/>
      <c r="H50" s="154"/>
      <c r="I50" s="155"/>
      <c r="J50" s="155"/>
      <c r="K50" s="155"/>
      <c r="L50" s="154"/>
      <c r="M50" s="154"/>
    </row>
    <row r="51" spans="2:13" x14ac:dyDescent="0.25">
      <c r="B51" s="157" t="s">
        <v>70</v>
      </c>
      <c r="C51" s="177">
        <v>10070</v>
      </c>
      <c r="D51" s="177">
        <v>5058</v>
      </c>
      <c r="E51" s="177">
        <v>16823</v>
      </c>
      <c r="F51" s="177">
        <v>27446</v>
      </c>
      <c r="G51" s="177">
        <v>23231</v>
      </c>
      <c r="H51" s="177">
        <v>21785</v>
      </c>
      <c r="I51" s="178">
        <f>IFERROR(H51/G51-1,"-")</f>
        <v>-6.2244414790581515E-2</v>
      </c>
      <c r="J51" s="178">
        <f>IFERROR(H51/D51-1,"-")</f>
        <v>3.30703835508106</v>
      </c>
      <c r="K51" s="177">
        <f>H51-G51</f>
        <v>-1446</v>
      </c>
      <c r="L51" s="177">
        <f>H51-D51</f>
        <v>16727</v>
      </c>
      <c r="M51" s="178">
        <f t="shared" ref="M51:M63" si="28">H51/H$9</f>
        <v>8.1692973916747784E-3</v>
      </c>
    </row>
    <row r="52" spans="2:13" x14ac:dyDescent="0.25">
      <c r="B52" s="160" t="s">
        <v>99</v>
      </c>
      <c r="C52" s="161">
        <v>1123</v>
      </c>
      <c r="D52" s="161">
        <v>1502</v>
      </c>
      <c r="E52" s="161">
        <v>2015</v>
      </c>
      <c r="F52" s="161">
        <v>12065</v>
      </c>
      <c r="G52" s="161">
        <v>6319</v>
      </c>
      <c r="H52" s="161">
        <v>4389</v>
      </c>
      <c r="I52" s="179">
        <f>IFERROR(H52/G52-1,"-")</f>
        <v>-0.30542807406235162</v>
      </c>
      <c r="J52" s="162">
        <f t="shared" ref="J52:J63" si="29">IFERROR(H52/D52-1,"-")</f>
        <v>1.922103861517976</v>
      </c>
      <c r="K52" s="161">
        <f t="shared" ref="K52:K62" si="30">H52-G52</f>
        <v>-1930</v>
      </c>
      <c r="L52" s="161">
        <f t="shared" ref="L52:L63" si="31">H52-D52</f>
        <v>2887</v>
      </c>
      <c r="M52" s="162">
        <f t="shared" si="28"/>
        <v>1.6458593643360387E-3</v>
      </c>
    </row>
    <row r="53" spans="2:13" x14ac:dyDescent="0.25">
      <c r="B53" s="164" t="s">
        <v>105</v>
      </c>
      <c r="C53" s="165">
        <v>538</v>
      </c>
      <c r="D53" s="165">
        <v>685</v>
      </c>
      <c r="E53" s="165">
        <v>774</v>
      </c>
      <c r="F53" s="165">
        <v>8967</v>
      </c>
      <c r="G53" s="165">
        <v>4242</v>
      </c>
      <c r="H53" s="165">
        <v>2844</v>
      </c>
      <c r="I53" s="180">
        <f>IFERROR(H53/G53-1,"-")</f>
        <v>-0.32956152758132962</v>
      </c>
      <c r="J53" s="166">
        <f t="shared" si="29"/>
        <v>3.1518248175182482</v>
      </c>
      <c r="K53" s="165">
        <f t="shared" si="30"/>
        <v>-1398</v>
      </c>
      <c r="L53" s="165">
        <f t="shared" si="31"/>
        <v>2159</v>
      </c>
      <c r="M53" s="166">
        <f t="shared" si="28"/>
        <v>1.0664898683462507E-3</v>
      </c>
    </row>
    <row r="54" spans="2:13" x14ac:dyDescent="0.25">
      <c r="B54" s="164" t="s">
        <v>102</v>
      </c>
      <c r="C54" s="165">
        <v>585</v>
      </c>
      <c r="D54" s="165">
        <v>817</v>
      </c>
      <c r="E54" s="165">
        <v>1241</v>
      </c>
      <c r="F54" s="165">
        <v>3098</v>
      </c>
      <c r="G54" s="165">
        <v>2077</v>
      </c>
      <c r="H54" s="165">
        <v>1545</v>
      </c>
      <c r="I54" s="180">
        <f>IFERROR(H54/G54-1,"-")</f>
        <v>-0.25613866153105436</v>
      </c>
      <c r="J54" s="166">
        <f t="shared" si="29"/>
        <v>0.89106487148102809</v>
      </c>
      <c r="K54" s="165">
        <f t="shared" si="30"/>
        <v>-532</v>
      </c>
      <c r="L54" s="165">
        <f t="shared" si="31"/>
        <v>728</v>
      </c>
      <c r="M54" s="166">
        <f t="shared" si="28"/>
        <v>5.7936949598978813E-4</v>
      </c>
    </row>
    <row r="55" spans="2:13" x14ac:dyDescent="0.25">
      <c r="B55" s="160" t="s">
        <v>109</v>
      </c>
      <c r="C55" s="161">
        <v>8947</v>
      </c>
      <c r="D55" s="161">
        <v>3556</v>
      </c>
      <c r="E55" s="161">
        <v>14808</v>
      </c>
      <c r="F55" s="161">
        <v>15381</v>
      </c>
      <c r="G55" s="161">
        <v>16912</v>
      </c>
      <c r="H55" s="161">
        <v>17396</v>
      </c>
      <c r="I55" s="179">
        <f>IFERROR(H55/G55-1,"-")</f>
        <v>2.8618732261116442E-2</v>
      </c>
      <c r="J55" s="162">
        <f t="shared" si="29"/>
        <v>3.8920134983127106</v>
      </c>
      <c r="K55" s="161">
        <f t="shared" si="30"/>
        <v>484</v>
      </c>
      <c r="L55" s="161">
        <f t="shared" si="31"/>
        <v>13840</v>
      </c>
      <c r="M55" s="162">
        <f t="shared" si="28"/>
        <v>6.5234380273387401E-3</v>
      </c>
    </row>
    <row r="56" spans="2:13" x14ac:dyDescent="0.25">
      <c r="B56" s="164" t="s">
        <v>112</v>
      </c>
      <c r="C56" s="165">
        <v>2897</v>
      </c>
      <c r="D56" s="165">
        <v>93</v>
      </c>
      <c r="E56" s="165">
        <v>5195</v>
      </c>
      <c r="F56" s="165">
        <v>4726</v>
      </c>
      <c r="G56" s="165">
        <v>5733</v>
      </c>
      <c r="H56" s="165">
        <v>6111</v>
      </c>
      <c r="I56" s="180">
        <f t="shared" ref="I56:I63" si="32">IFERROR(H56/G56-1,"-")</f>
        <v>6.5934065934065922E-2</v>
      </c>
      <c r="J56" s="166">
        <f t="shared" si="29"/>
        <v>64.709677419354833</v>
      </c>
      <c r="K56" s="165">
        <f t="shared" si="30"/>
        <v>378</v>
      </c>
      <c r="L56" s="165">
        <f t="shared" si="31"/>
        <v>6018</v>
      </c>
      <c r="M56" s="166">
        <f t="shared" si="28"/>
        <v>2.291603229769317E-3</v>
      </c>
    </row>
    <row r="57" spans="2:13" x14ac:dyDescent="0.25">
      <c r="B57" s="164" t="s">
        <v>115</v>
      </c>
      <c r="C57" s="165">
        <v>2253</v>
      </c>
      <c r="D57" s="165">
        <v>1309</v>
      </c>
      <c r="E57" s="165">
        <v>3627</v>
      </c>
      <c r="F57" s="165">
        <v>2757</v>
      </c>
      <c r="G57" s="165">
        <v>3476</v>
      </c>
      <c r="H57" s="165">
        <v>3606</v>
      </c>
      <c r="I57" s="180">
        <f t="shared" si="32"/>
        <v>3.7399309551208182E-2</v>
      </c>
      <c r="J57" s="166">
        <f t="shared" si="29"/>
        <v>1.7547746371275781</v>
      </c>
      <c r="K57" s="165">
        <f t="shared" si="30"/>
        <v>130</v>
      </c>
      <c r="L57" s="165">
        <f t="shared" si="31"/>
        <v>2297</v>
      </c>
      <c r="M57" s="166">
        <f t="shared" si="28"/>
        <v>1.3522371537470395E-3</v>
      </c>
    </row>
    <row r="58" spans="2:13" x14ac:dyDescent="0.25">
      <c r="B58" s="164" t="s">
        <v>118</v>
      </c>
      <c r="C58" s="165">
        <v>449</v>
      </c>
      <c r="D58" s="165">
        <v>618</v>
      </c>
      <c r="E58" s="165">
        <v>1130</v>
      </c>
      <c r="F58" s="165">
        <v>1574</v>
      </c>
      <c r="G58" s="165">
        <v>1235</v>
      </c>
      <c r="H58" s="165">
        <v>1094</v>
      </c>
      <c r="I58" s="180">
        <f t="shared" si="32"/>
        <v>-0.1141700404858299</v>
      </c>
      <c r="J58" s="166">
        <f t="shared" si="29"/>
        <v>0.77022653721682843</v>
      </c>
      <c r="K58" s="165">
        <f t="shared" si="30"/>
        <v>-141</v>
      </c>
      <c r="L58" s="165">
        <f t="shared" si="31"/>
        <v>476</v>
      </c>
      <c r="M58" s="166">
        <f t="shared" si="28"/>
        <v>4.1024610266202473E-4</v>
      </c>
    </row>
    <row r="59" spans="2:13" x14ac:dyDescent="0.25">
      <c r="B59" s="164" t="s">
        <v>125</v>
      </c>
      <c r="C59" s="165">
        <v>218</v>
      </c>
      <c r="D59" s="165">
        <v>79</v>
      </c>
      <c r="E59" s="165">
        <v>420</v>
      </c>
      <c r="F59" s="165">
        <v>361</v>
      </c>
      <c r="G59" s="165">
        <v>550</v>
      </c>
      <c r="H59" s="165">
        <v>537</v>
      </c>
      <c r="I59" s="180">
        <f t="shared" si="32"/>
        <v>-2.3636363636363678E-2</v>
      </c>
      <c r="J59" s="166">
        <f t="shared" si="29"/>
        <v>5.7974683544303796</v>
      </c>
      <c r="K59" s="165">
        <f t="shared" si="30"/>
        <v>-13</v>
      </c>
      <c r="L59" s="165">
        <f t="shared" si="31"/>
        <v>458</v>
      </c>
      <c r="M59" s="166">
        <f t="shared" si="28"/>
        <v>2.0137308695567391E-4</v>
      </c>
    </row>
    <row r="60" spans="2:13" x14ac:dyDescent="0.25">
      <c r="B60" s="164" t="s">
        <v>121</v>
      </c>
      <c r="C60" s="165">
        <v>187</v>
      </c>
      <c r="D60" s="165">
        <v>107</v>
      </c>
      <c r="E60" s="165">
        <v>385</v>
      </c>
      <c r="F60" s="165">
        <v>374</v>
      </c>
      <c r="G60" s="165">
        <v>394</v>
      </c>
      <c r="H60" s="165">
        <v>478</v>
      </c>
      <c r="I60" s="180">
        <f t="shared" si="32"/>
        <v>0.21319796954314718</v>
      </c>
      <c r="J60" s="166">
        <f t="shared" si="29"/>
        <v>3.4672897196261685</v>
      </c>
      <c r="K60" s="165">
        <f t="shared" si="30"/>
        <v>84</v>
      </c>
      <c r="L60" s="165">
        <f t="shared" si="31"/>
        <v>371</v>
      </c>
      <c r="M60" s="166">
        <f t="shared" si="28"/>
        <v>1.7924829714117716E-4</v>
      </c>
    </row>
    <row r="61" spans="2:13" x14ac:dyDescent="0.25">
      <c r="B61" s="164" t="s">
        <v>130</v>
      </c>
      <c r="C61" s="165">
        <v>136</v>
      </c>
      <c r="D61" s="165">
        <v>29</v>
      </c>
      <c r="E61" s="165">
        <v>44</v>
      </c>
      <c r="F61" s="165">
        <v>153</v>
      </c>
      <c r="G61" s="165">
        <v>78</v>
      </c>
      <c r="H61" s="165">
        <v>166</v>
      </c>
      <c r="I61" s="180">
        <f t="shared" si="32"/>
        <v>1.1282051282051282</v>
      </c>
      <c r="J61" s="166">
        <f t="shared" si="29"/>
        <v>4.7241379310344831</v>
      </c>
      <c r="K61" s="165">
        <f t="shared" si="30"/>
        <v>88</v>
      </c>
      <c r="L61" s="165">
        <f t="shared" si="31"/>
        <v>137</v>
      </c>
      <c r="M61" s="166">
        <f t="shared" si="28"/>
        <v>6.224940863061801E-5</v>
      </c>
    </row>
    <row r="62" spans="2:13" x14ac:dyDescent="0.25">
      <c r="B62" s="164" t="s">
        <v>133</v>
      </c>
      <c r="C62" s="165">
        <v>201</v>
      </c>
      <c r="D62" s="165">
        <v>14</v>
      </c>
      <c r="E62" s="165">
        <v>89</v>
      </c>
      <c r="F62" s="165">
        <v>138</v>
      </c>
      <c r="G62" s="165">
        <v>86</v>
      </c>
      <c r="H62" s="165">
        <v>408</v>
      </c>
      <c r="I62" s="180">
        <f t="shared" si="32"/>
        <v>3.7441860465116283</v>
      </c>
      <c r="J62" s="166">
        <f t="shared" si="29"/>
        <v>28.142857142857142</v>
      </c>
      <c r="K62" s="165">
        <f t="shared" si="30"/>
        <v>322</v>
      </c>
      <c r="L62" s="165">
        <f t="shared" si="31"/>
        <v>394</v>
      </c>
      <c r="M62" s="166">
        <f t="shared" si="28"/>
        <v>1.5299854651380811E-4</v>
      </c>
    </row>
    <row r="63" spans="2:13" x14ac:dyDescent="0.25">
      <c r="B63" s="169" t="s">
        <v>147</v>
      </c>
      <c r="C63" s="170">
        <f t="shared" ref="C63" si="33">C55-SUM(C56:C62)</f>
        <v>2606</v>
      </c>
      <c r="D63" s="170">
        <f t="shared" ref="D63:E63" si="34">D55-SUM(D56:D62)</f>
        <v>1307</v>
      </c>
      <c r="E63" s="170">
        <f t="shared" si="34"/>
        <v>3918</v>
      </c>
      <c r="F63" s="170">
        <f t="shared" ref="F63:H63" si="35">F55-SUM(F56:F62)</f>
        <v>5298</v>
      </c>
      <c r="G63" s="170">
        <f t="shared" si="35"/>
        <v>5360</v>
      </c>
      <c r="H63" s="170">
        <f t="shared" si="35"/>
        <v>4996</v>
      </c>
      <c r="I63" s="181">
        <f t="shared" si="32"/>
        <v>-6.7910447761194037E-2</v>
      </c>
      <c r="J63" s="171">
        <f t="shared" si="29"/>
        <v>2.8224942616679418</v>
      </c>
      <c r="K63" s="170">
        <f>H63-G63</f>
        <v>-364</v>
      </c>
      <c r="L63" s="170">
        <f t="shared" si="31"/>
        <v>3689</v>
      </c>
      <c r="M63" s="171">
        <f t="shared" si="28"/>
        <v>1.8734822019190818E-3</v>
      </c>
    </row>
    <row r="64" spans="2:13" x14ac:dyDescent="0.25">
      <c r="B64" s="156" t="s">
        <v>49</v>
      </c>
      <c r="C64" s="154"/>
      <c r="D64" s="154"/>
      <c r="E64" s="154"/>
      <c r="F64" s="154"/>
      <c r="G64" s="154"/>
      <c r="H64" s="154"/>
      <c r="I64" s="155"/>
      <c r="J64" s="155"/>
      <c r="K64" s="155"/>
      <c r="L64" s="154"/>
      <c r="M64" s="154"/>
    </row>
    <row r="65" spans="2:13" x14ac:dyDescent="0.25">
      <c r="B65" s="157" t="s">
        <v>70</v>
      </c>
      <c r="C65" s="177">
        <v>24073</v>
      </c>
      <c r="D65" s="177">
        <v>16999</v>
      </c>
      <c r="E65" s="177">
        <v>67366</v>
      </c>
      <c r="F65" s="177">
        <v>86656</v>
      </c>
      <c r="G65" s="177">
        <v>116855</v>
      </c>
      <c r="H65" s="177">
        <v>94193</v>
      </c>
      <c r="I65" s="178">
        <f>IFERROR(H65/G65-1,"-")</f>
        <v>-0.19393265157674044</v>
      </c>
      <c r="J65" s="178">
        <f>IFERROR(H65/D65-1,"-")</f>
        <v>4.5410906523913175</v>
      </c>
      <c r="K65" s="177">
        <f>H65-G65</f>
        <v>-22662</v>
      </c>
      <c r="L65" s="177">
        <f>H65-D65</f>
        <v>77194</v>
      </c>
      <c r="M65" s="178">
        <f t="shared" ref="M65:M77" si="36">H65/H$9</f>
        <v>3.5322039440625314E-2</v>
      </c>
    </row>
    <row r="66" spans="2:13" x14ac:dyDescent="0.25">
      <c r="B66" s="160" t="s">
        <v>99</v>
      </c>
      <c r="C66" s="161">
        <v>5545</v>
      </c>
      <c r="D66" s="161">
        <v>8975</v>
      </c>
      <c r="E66" s="161">
        <v>15319</v>
      </c>
      <c r="F66" s="161">
        <v>15555</v>
      </c>
      <c r="G66" s="161">
        <v>28730</v>
      </c>
      <c r="H66" s="161">
        <v>19172</v>
      </c>
      <c r="I66" s="179">
        <f>IFERROR(H66/G66-1,"-")</f>
        <v>-0.33268360598677338</v>
      </c>
      <c r="J66" s="162">
        <f t="shared" ref="J66:J77" si="37">IFERROR(H66/D66-1,"-")</f>
        <v>1.1361559888579387</v>
      </c>
      <c r="K66" s="161">
        <f t="shared" ref="K66:K76" si="38">H66-G66</f>
        <v>-9558</v>
      </c>
      <c r="L66" s="161">
        <f t="shared" ref="L66:L77" si="39">H66-D66</f>
        <v>10197</v>
      </c>
      <c r="M66" s="162">
        <f t="shared" si="36"/>
        <v>7.1894317003988462E-3</v>
      </c>
    </row>
    <row r="67" spans="2:13" x14ac:dyDescent="0.25">
      <c r="B67" s="164" t="s">
        <v>105</v>
      </c>
      <c r="C67" s="165">
        <v>2263</v>
      </c>
      <c r="D67" s="165">
        <v>8610</v>
      </c>
      <c r="E67" s="165">
        <v>11257</v>
      </c>
      <c r="F67" s="165">
        <v>11294</v>
      </c>
      <c r="G67" s="165">
        <v>17808</v>
      </c>
      <c r="H67" s="165">
        <v>7441</v>
      </c>
      <c r="I67" s="180">
        <f>IFERROR(H67/G67-1,"-")</f>
        <v>-0.58215408805031443</v>
      </c>
      <c r="J67" s="166">
        <f t="shared" si="37"/>
        <v>-0.13577235772357721</v>
      </c>
      <c r="K67" s="165">
        <f t="shared" si="38"/>
        <v>-10367</v>
      </c>
      <c r="L67" s="165">
        <f t="shared" si="39"/>
        <v>-1169</v>
      </c>
      <c r="M67" s="166">
        <f t="shared" si="36"/>
        <v>2.7903484916893288E-3</v>
      </c>
    </row>
    <row r="68" spans="2:13" x14ac:dyDescent="0.25">
      <c r="B68" s="164" t="s">
        <v>102</v>
      </c>
      <c r="C68" s="165">
        <v>3282</v>
      </c>
      <c r="D68" s="165">
        <v>365</v>
      </c>
      <c r="E68" s="165">
        <v>4062</v>
      </c>
      <c r="F68" s="165">
        <v>4261</v>
      </c>
      <c r="G68" s="165">
        <v>10922</v>
      </c>
      <c r="H68" s="165">
        <v>11731</v>
      </c>
      <c r="I68" s="180">
        <f>IFERROR(H68/G68-1,"-")</f>
        <v>7.4070683025087014E-2</v>
      </c>
      <c r="J68" s="166">
        <f t="shared" si="37"/>
        <v>31.139726027397259</v>
      </c>
      <c r="K68" s="165">
        <f t="shared" si="38"/>
        <v>809</v>
      </c>
      <c r="L68" s="165">
        <f t="shared" si="39"/>
        <v>11366</v>
      </c>
      <c r="M68" s="166">
        <f t="shared" si="36"/>
        <v>4.3990832087095174E-3</v>
      </c>
    </row>
    <row r="69" spans="2:13" x14ac:dyDescent="0.25">
      <c r="B69" s="160" t="s">
        <v>109</v>
      </c>
      <c r="C69" s="161">
        <v>18528</v>
      </c>
      <c r="D69" s="161">
        <v>8024</v>
      </c>
      <c r="E69" s="161">
        <v>52047</v>
      </c>
      <c r="F69" s="161">
        <v>71101</v>
      </c>
      <c r="G69" s="161">
        <v>88125</v>
      </c>
      <c r="H69" s="161">
        <v>75021</v>
      </c>
      <c r="I69" s="179">
        <f>IFERROR(H69/G69-1,"-")</f>
        <v>-0.14869787234042553</v>
      </c>
      <c r="J69" s="162">
        <f t="shared" si="37"/>
        <v>8.3495762711864412</v>
      </c>
      <c r="K69" s="161">
        <f t="shared" si="38"/>
        <v>-13104</v>
      </c>
      <c r="L69" s="161">
        <f t="shared" si="39"/>
        <v>66997</v>
      </c>
      <c r="M69" s="162">
        <f t="shared" si="36"/>
        <v>2.8132607740226467E-2</v>
      </c>
    </row>
    <row r="70" spans="2:13" x14ac:dyDescent="0.25">
      <c r="B70" s="164" t="s">
        <v>112</v>
      </c>
      <c r="C70" s="165">
        <v>7372</v>
      </c>
      <c r="D70" s="165">
        <v>877</v>
      </c>
      <c r="E70" s="165">
        <v>21001</v>
      </c>
      <c r="F70" s="165">
        <v>25101</v>
      </c>
      <c r="G70" s="165">
        <v>34981</v>
      </c>
      <c r="H70" s="165">
        <v>37459</v>
      </c>
      <c r="I70" s="180">
        <f t="shared" ref="I70:I77" si="40">IFERROR(H70/G70-1,"-")</f>
        <v>7.0838455161373215E-2</v>
      </c>
      <c r="J70" s="166">
        <f t="shared" si="37"/>
        <v>41.712656784492587</v>
      </c>
      <c r="K70" s="165">
        <f t="shared" si="38"/>
        <v>2478</v>
      </c>
      <c r="L70" s="165">
        <f t="shared" si="39"/>
        <v>36582</v>
      </c>
      <c r="M70" s="166">
        <f t="shared" si="36"/>
        <v>1.4046991553580241E-2</v>
      </c>
    </row>
    <row r="71" spans="2:13" x14ac:dyDescent="0.25">
      <c r="B71" s="164" t="s">
        <v>115</v>
      </c>
      <c r="C71" s="165">
        <v>2105</v>
      </c>
      <c r="D71" s="165">
        <v>1250</v>
      </c>
      <c r="E71" s="165">
        <v>5401</v>
      </c>
      <c r="F71" s="165">
        <v>5574</v>
      </c>
      <c r="G71" s="165">
        <v>5513</v>
      </c>
      <c r="H71" s="165">
        <v>5601</v>
      </c>
      <c r="I71" s="180">
        <f t="shared" si="40"/>
        <v>1.5962270995828032E-2</v>
      </c>
      <c r="J71" s="166">
        <f t="shared" si="37"/>
        <v>3.4808000000000003</v>
      </c>
      <c r="K71" s="165">
        <f t="shared" si="38"/>
        <v>88</v>
      </c>
      <c r="L71" s="165">
        <f t="shared" si="39"/>
        <v>4351</v>
      </c>
      <c r="M71" s="166">
        <f t="shared" si="36"/>
        <v>2.1003550466270572E-3</v>
      </c>
    </row>
    <row r="72" spans="2:13" x14ac:dyDescent="0.25">
      <c r="B72" s="164" t="s">
        <v>118</v>
      </c>
      <c r="C72" s="165">
        <v>2465</v>
      </c>
      <c r="D72" s="165">
        <v>1193</v>
      </c>
      <c r="E72" s="165">
        <v>6893</v>
      </c>
      <c r="F72" s="165">
        <v>8787</v>
      </c>
      <c r="G72" s="165">
        <v>10100</v>
      </c>
      <c r="H72" s="165">
        <v>5029</v>
      </c>
      <c r="I72" s="180">
        <f t="shared" si="40"/>
        <v>-0.50207920792079208</v>
      </c>
      <c r="J72" s="166">
        <f t="shared" si="37"/>
        <v>3.2154233025984915</v>
      </c>
      <c r="K72" s="165">
        <f t="shared" si="38"/>
        <v>-5071</v>
      </c>
      <c r="L72" s="165">
        <f t="shared" si="39"/>
        <v>3836</v>
      </c>
      <c r="M72" s="166">
        <f t="shared" si="36"/>
        <v>1.8858570843576987E-3</v>
      </c>
    </row>
    <row r="73" spans="2:13" x14ac:dyDescent="0.25">
      <c r="B73" s="164" t="s">
        <v>125</v>
      </c>
      <c r="C73" s="165">
        <v>210</v>
      </c>
      <c r="D73" s="165">
        <v>419</v>
      </c>
      <c r="E73" s="165">
        <v>1522</v>
      </c>
      <c r="F73" s="165">
        <v>1870</v>
      </c>
      <c r="G73" s="165">
        <v>3396</v>
      </c>
      <c r="H73" s="165">
        <v>2650</v>
      </c>
      <c r="I73" s="180">
        <f t="shared" si="40"/>
        <v>-0.21967020023557127</v>
      </c>
      <c r="J73" s="166">
        <f t="shared" si="37"/>
        <v>5.3245823389021476</v>
      </c>
      <c r="K73" s="165">
        <f t="shared" si="38"/>
        <v>-746</v>
      </c>
      <c r="L73" s="165">
        <f t="shared" si="39"/>
        <v>2231</v>
      </c>
      <c r="M73" s="166">
        <f t="shared" si="36"/>
        <v>9.9374055946468498E-4</v>
      </c>
    </row>
    <row r="74" spans="2:13" x14ac:dyDescent="0.25">
      <c r="B74" s="164" t="s">
        <v>121</v>
      </c>
      <c r="C74" s="165">
        <v>472</v>
      </c>
      <c r="D74" s="165">
        <v>426</v>
      </c>
      <c r="E74" s="165">
        <v>1477</v>
      </c>
      <c r="F74" s="165">
        <v>1476</v>
      </c>
      <c r="G74" s="165">
        <v>1986</v>
      </c>
      <c r="H74" s="165">
        <v>1550</v>
      </c>
      <c r="I74" s="180">
        <f t="shared" si="40"/>
        <v>-0.21953675730110778</v>
      </c>
      <c r="J74" s="166">
        <f t="shared" si="37"/>
        <v>2.6384976525821595</v>
      </c>
      <c r="K74" s="165">
        <f t="shared" si="38"/>
        <v>-436</v>
      </c>
      <c r="L74" s="165">
        <f t="shared" si="39"/>
        <v>1124</v>
      </c>
      <c r="M74" s="166">
        <f t="shared" si="36"/>
        <v>5.8124447817745734E-4</v>
      </c>
    </row>
    <row r="75" spans="2:13" x14ac:dyDescent="0.25">
      <c r="B75" s="164" t="s">
        <v>130</v>
      </c>
      <c r="C75" s="165">
        <v>664</v>
      </c>
      <c r="D75" s="165">
        <v>1</v>
      </c>
      <c r="E75" s="165">
        <v>1041</v>
      </c>
      <c r="F75" s="165">
        <v>3201</v>
      </c>
      <c r="G75" s="165">
        <v>2216</v>
      </c>
      <c r="H75" s="165">
        <v>1462</v>
      </c>
      <c r="I75" s="180">
        <f t="shared" si="40"/>
        <v>-0.34025270758122739</v>
      </c>
      <c r="J75" s="166">
        <f t="shared" si="37"/>
        <v>1461</v>
      </c>
      <c r="K75" s="165">
        <f t="shared" si="38"/>
        <v>-754</v>
      </c>
      <c r="L75" s="165">
        <f t="shared" si="39"/>
        <v>1461</v>
      </c>
      <c r="M75" s="166">
        <f t="shared" si="36"/>
        <v>5.4824479167447904E-4</v>
      </c>
    </row>
    <row r="76" spans="2:13" x14ac:dyDescent="0.25">
      <c r="B76" s="164" t="s">
        <v>133</v>
      </c>
      <c r="C76" s="165">
        <v>788</v>
      </c>
      <c r="D76" s="165">
        <v>0</v>
      </c>
      <c r="E76" s="165">
        <v>418</v>
      </c>
      <c r="F76" s="165">
        <v>936</v>
      </c>
      <c r="G76" s="165">
        <v>1641</v>
      </c>
      <c r="H76" s="165">
        <v>1825</v>
      </c>
      <c r="I76" s="180">
        <f t="shared" si="40"/>
        <v>0.11212675198049959</v>
      </c>
      <c r="J76" s="166" t="str">
        <f t="shared" si="37"/>
        <v>-</v>
      </c>
      <c r="K76" s="165">
        <f t="shared" si="38"/>
        <v>184</v>
      </c>
      <c r="L76" s="165">
        <f t="shared" si="39"/>
        <v>1825</v>
      </c>
      <c r="M76" s="166">
        <f t="shared" si="36"/>
        <v>6.8436849849926431E-4</v>
      </c>
    </row>
    <row r="77" spans="2:13" x14ac:dyDescent="0.25">
      <c r="B77" s="169" t="s">
        <v>147</v>
      </c>
      <c r="C77" s="170">
        <f t="shared" ref="C77" si="41">C69-SUM(C70:C76)</f>
        <v>4452</v>
      </c>
      <c r="D77" s="170">
        <f t="shared" ref="D77:E77" si="42">D69-SUM(D70:D76)</f>
        <v>3858</v>
      </c>
      <c r="E77" s="170">
        <f t="shared" si="42"/>
        <v>14294</v>
      </c>
      <c r="F77" s="170">
        <f t="shared" ref="F77:H77" si="43">F69-SUM(F70:F76)</f>
        <v>24156</v>
      </c>
      <c r="G77" s="170">
        <f t="shared" si="43"/>
        <v>28292</v>
      </c>
      <c r="H77" s="170">
        <f t="shared" si="43"/>
        <v>19445</v>
      </c>
      <c r="I77" s="181">
        <f t="shared" si="40"/>
        <v>-0.31270323766435737</v>
      </c>
      <c r="J77" s="171">
        <f t="shared" si="37"/>
        <v>4.0401762571280457</v>
      </c>
      <c r="K77" s="170">
        <f>H77-G77</f>
        <v>-8847</v>
      </c>
      <c r="L77" s="170">
        <f t="shared" si="39"/>
        <v>15587</v>
      </c>
      <c r="M77" s="171">
        <f t="shared" si="36"/>
        <v>7.2918057278455852E-3</v>
      </c>
    </row>
    <row r="78" spans="2:13" x14ac:dyDescent="0.25">
      <c r="B78" s="156" t="s">
        <v>50</v>
      </c>
      <c r="C78" s="154"/>
      <c r="D78" s="154"/>
      <c r="E78" s="154"/>
      <c r="F78" s="154"/>
      <c r="G78" s="154"/>
      <c r="H78" s="154"/>
      <c r="I78" s="155"/>
      <c r="J78" s="155"/>
      <c r="K78" s="155"/>
      <c r="L78" s="154"/>
      <c r="M78" s="154"/>
    </row>
    <row r="79" spans="2:13" x14ac:dyDescent="0.25">
      <c r="B79" s="157" t="s">
        <v>70</v>
      </c>
      <c r="C79" s="177">
        <v>142242</v>
      </c>
      <c r="D79" s="177">
        <v>70082</v>
      </c>
      <c r="E79" s="177">
        <v>321332</v>
      </c>
      <c r="F79" s="177">
        <v>378937</v>
      </c>
      <c r="G79" s="177">
        <v>434631</v>
      </c>
      <c r="H79" s="177">
        <v>443938</v>
      </c>
      <c r="I79" s="178">
        <f>IFERROR(H79/G79-1,"-")</f>
        <v>2.1413566910781778E-2</v>
      </c>
      <c r="J79" s="178">
        <f>IFERROR(H79/D79-1,"-")</f>
        <v>5.334550954596045</v>
      </c>
      <c r="K79" s="177">
        <f>H79-G79</f>
        <v>9307</v>
      </c>
      <c r="L79" s="177">
        <f>H79-D79</f>
        <v>373856</v>
      </c>
      <c r="M79" s="178">
        <f t="shared" ref="M79:M91" si="44">H79/H$9</f>
        <v>0.16647516848589938</v>
      </c>
    </row>
    <row r="80" spans="2:13" x14ac:dyDescent="0.25">
      <c r="B80" s="160" t="s">
        <v>99</v>
      </c>
      <c r="C80" s="161">
        <v>47060</v>
      </c>
      <c r="D80" s="161">
        <v>39171</v>
      </c>
      <c r="E80" s="161">
        <v>153117</v>
      </c>
      <c r="F80" s="161">
        <v>165380</v>
      </c>
      <c r="G80" s="161">
        <v>177175</v>
      </c>
      <c r="H80" s="161">
        <v>181105</v>
      </c>
      <c r="I80" s="179">
        <f>IFERROR(H80/G80-1,"-")</f>
        <v>2.2181459009454008E-2</v>
      </c>
      <c r="J80" s="162">
        <f t="shared" ref="J80:J91" si="45">IFERROR(H80/D80-1,"-")</f>
        <v>3.623445916621991</v>
      </c>
      <c r="K80" s="161">
        <f t="shared" ref="K80:K90" si="46">H80-G80</f>
        <v>3930</v>
      </c>
      <c r="L80" s="161">
        <f t="shared" ref="L80:L91" si="47">H80-D80</f>
        <v>141934</v>
      </c>
      <c r="M80" s="162">
        <f t="shared" si="44"/>
        <v>6.7913729819566712E-2</v>
      </c>
    </row>
    <row r="81" spans="2:13" x14ac:dyDescent="0.25">
      <c r="B81" s="164" t="s">
        <v>105</v>
      </c>
      <c r="C81" s="165">
        <v>8752</v>
      </c>
      <c r="D81" s="165">
        <v>17880</v>
      </c>
      <c r="E81" s="165">
        <v>41817</v>
      </c>
      <c r="F81" s="165">
        <v>42733</v>
      </c>
      <c r="G81" s="165">
        <v>50173</v>
      </c>
      <c r="H81" s="165">
        <v>41021</v>
      </c>
      <c r="I81" s="180">
        <f>IFERROR(H81/G81-1,"-")</f>
        <v>-0.18240886532597211</v>
      </c>
      <c r="J81" s="166">
        <f t="shared" si="45"/>
        <v>1.2942393736017896</v>
      </c>
      <c r="K81" s="165">
        <f t="shared" si="46"/>
        <v>-9152</v>
      </c>
      <c r="L81" s="165">
        <f t="shared" si="47"/>
        <v>23141</v>
      </c>
      <c r="M81" s="166">
        <f t="shared" si="44"/>
        <v>1.5382728864075792E-2</v>
      </c>
    </row>
    <row r="82" spans="2:13" x14ac:dyDescent="0.25">
      <c r="B82" s="164" t="s">
        <v>102</v>
      </c>
      <c r="C82" s="165">
        <v>38308</v>
      </c>
      <c r="D82" s="165">
        <v>21291</v>
      </c>
      <c r="E82" s="165">
        <v>111300</v>
      </c>
      <c r="F82" s="165">
        <v>122647</v>
      </c>
      <c r="G82" s="165">
        <v>127002</v>
      </c>
      <c r="H82" s="165">
        <v>140084</v>
      </c>
      <c r="I82" s="180">
        <f>IFERROR(H82/G82-1,"-")</f>
        <v>0.10300625187004919</v>
      </c>
      <c r="J82" s="166">
        <f t="shared" si="45"/>
        <v>5.5794936827767598</v>
      </c>
      <c r="K82" s="165">
        <f t="shared" si="46"/>
        <v>13082</v>
      </c>
      <c r="L82" s="165">
        <f t="shared" si="47"/>
        <v>118793</v>
      </c>
      <c r="M82" s="166">
        <f t="shared" si="44"/>
        <v>5.2531000955490924E-2</v>
      </c>
    </row>
    <row r="83" spans="2:13" x14ac:dyDescent="0.25">
      <c r="B83" s="160" t="s">
        <v>109</v>
      </c>
      <c r="C83" s="161">
        <v>95182</v>
      </c>
      <c r="D83" s="161">
        <v>30911</v>
      </c>
      <c r="E83" s="161">
        <v>168215</v>
      </c>
      <c r="F83" s="161">
        <v>213557</v>
      </c>
      <c r="G83" s="161">
        <v>257456</v>
      </c>
      <c r="H83" s="161">
        <v>262833</v>
      </c>
      <c r="I83" s="179">
        <f>IFERROR(H83/G83-1,"-")</f>
        <v>2.0885122117954236E-2</v>
      </c>
      <c r="J83" s="162">
        <f t="shared" si="45"/>
        <v>7.5028954094011837</v>
      </c>
      <c r="K83" s="161">
        <f t="shared" si="46"/>
        <v>5377</v>
      </c>
      <c r="L83" s="161">
        <f t="shared" si="47"/>
        <v>231922</v>
      </c>
      <c r="M83" s="162">
        <f t="shared" si="44"/>
        <v>9.8561438666332671E-2</v>
      </c>
    </row>
    <row r="84" spans="2:13" x14ac:dyDescent="0.25">
      <c r="B84" s="164" t="s">
        <v>112</v>
      </c>
      <c r="C84" s="165">
        <v>16800</v>
      </c>
      <c r="D84" s="165">
        <v>2073</v>
      </c>
      <c r="E84" s="165">
        <v>30030</v>
      </c>
      <c r="F84" s="165">
        <v>40721</v>
      </c>
      <c r="G84" s="165">
        <v>50856</v>
      </c>
      <c r="H84" s="165">
        <v>51057</v>
      </c>
      <c r="I84" s="180">
        <f t="shared" ref="I84:I91" si="48">IFERROR(H84/G84-1,"-")</f>
        <v>3.9523360075506275E-3</v>
      </c>
      <c r="J84" s="166">
        <f t="shared" si="45"/>
        <v>23.629522431259044</v>
      </c>
      <c r="K84" s="165">
        <f t="shared" si="46"/>
        <v>201</v>
      </c>
      <c r="L84" s="165">
        <f t="shared" si="47"/>
        <v>48984</v>
      </c>
      <c r="M84" s="166">
        <f t="shared" si="44"/>
        <v>1.9146193111165444E-2</v>
      </c>
    </row>
    <row r="85" spans="2:13" x14ac:dyDescent="0.25">
      <c r="B85" s="164" t="s">
        <v>115</v>
      </c>
      <c r="C85" s="165">
        <v>32881</v>
      </c>
      <c r="D85" s="165">
        <v>6401</v>
      </c>
      <c r="E85" s="165">
        <v>53184</v>
      </c>
      <c r="F85" s="165">
        <v>64537</v>
      </c>
      <c r="G85" s="165">
        <v>73470</v>
      </c>
      <c r="H85" s="165">
        <v>73054</v>
      </c>
      <c r="I85" s="180">
        <f t="shared" si="48"/>
        <v>-5.6621750374302726E-3</v>
      </c>
      <c r="J85" s="166">
        <f t="shared" si="45"/>
        <v>10.412904233713482</v>
      </c>
      <c r="K85" s="165">
        <f t="shared" si="46"/>
        <v>-416</v>
      </c>
      <c r="L85" s="165">
        <f t="shared" si="47"/>
        <v>66653</v>
      </c>
      <c r="M85" s="166">
        <f t="shared" si="44"/>
        <v>2.7394989747597399E-2</v>
      </c>
    </row>
    <row r="86" spans="2:13" x14ac:dyDescent="0.25">
      <c r="B86" s="164" t="s">
        <v>118</v>
      </c>
      <c r="C86" s="165">
        <v>5852</v>
      </c>
      <c r="D86" s="165">
        <v>5922</v>
      </c>
      <c r="E86" s="165">
        <v>15453</v>
      </c>
      <c r="F86" s="165">
        <v>19572</v>
      </c>
      <c r="G86" s="165">
        <v>28865</v>
      </c>
      <c r="H86" s="165">
        <v>29134</v>
      </c>
      <c r="I86" s="180">
        <f t="shared" si="48"/>
        <v>9.3192447600900508E-3</v>
      </c>
      <c r="J86" s="166">
        <f t="shared" si="45"/>
        <v>3.9196217494089831</v>
      </c>
      <c r="K86" s="165">
        <f t="shared" si="46"/>
        <v>269</v>
      </c>
      <c r="L86" s="165">
        <f t="shared" si="47"/>
        <v>23212</v>
      </c>
      <c r="M86" s="166">
        <f t="shared" si="44"/>
        <v>1.0925146211110995E-2</v>
      </c>
    </row>
    <row r="87" spans="2:13" x14ac:dyDescent="0.25">
      <c r="B87" s="164" t="s">
        <v>125</v>
      </c>
      <c r="C87" s="165">
        <v>1464</v>
      </c>
      <c r="D87" s="165">
        <v>579</v>
      </c>
      <c r="E87" s="165">
        <v>4796</v>
      </c>
      <c r="F87" s="165">
        <v>4747</v>
      </c>
      <c r="G87" s="165">
        <v>7257</v>
      </c>
      <c r="H87" s="165">
        <v>7143</v>
      </c>
      <c r="I87" s="180">
        <f t="shared" si="48"/>
        <v>-1.5708970649028542E-2</v>
      </c>
      <c r="J87" s="166">
        <f t="shared" si="45"/>
        <v>11.336787564766839</v>
      </c>
      <c r="K87" s="165">
        <f t="shared" si="46"/>
        <v>-114</v>
      </c>
      <c r="L87" s="165">
        <f t="shared" si="47"/>
        <v>6564</v>
      </c>
      <c r="M87" s="166">
        <f t="shared" si="44"/>
        <v>2.6785995533042438E-3</v>
      </c>
    </row>
    <row r="88" spans="2:13" x14ac:dyDescent="0.25">
      <c r="B88" s="164" t="s">
        <v>121</v>
      </c>
      <c r="C88" s="165">
        <v>1087</v>
      </c>
      <c r="D88" s="165">
        <v>723</v>
      </c>
      <c r="E88" s="165">
        <v>2900</v>
      </c>
      <c r="F88" s="165">
        <v>2774</v>
      </c>
      <c r="G88" s="165">
        <v>3642</v>
      </c>
      <c r="H88" s="165">
        <v>3854</v>
      </c>
      <c r="I88" s="180">
        <f t="shared" si="48"/>
        <v>5.8209774848984042E-2</v>
      </c>
      <c r="J88" s="166">
        <f t="shared" si="45"/>
        <v>4.3305670816044257</v>
      </c>
      <c r="K88" s="165">
        <f t="shared" si="46"/>
        <v>212</v>
      </c>
      <c r="L88" s="165">
        <f t="shared" si="47"/>
        <v>3131</v>
      </c>
      <c r="M88" s="166">
        <f t="shared" si="44"/>
        <v>1.4452362702554325E-3</v>
      </c>
    </row>
    <row r="89" spans="2:13" x14ac:dyDescent="0.25">
      <c r="B89" s="164" t="s">
        <v>130</v>
      </c>
      <c r="C89" s="165">
        <v>3002</v>
      </c>
      <c r="D89" s="165">
        <v>112</v>
      </c>
      <c r="E89" s="165">
        <v>3376</v>
      </c>
      <c r="F89" s="165">
        <v>5224</v>
      </c>
      <c r="G89" s="165">
        <v>4318</v>
      </c>
      <c r="H89" s="165">
        <v>4499</v>
      </c>
      <c r="I89" s="180">
        <f t="shared" si="48"/>
        <v>4.1917554423344106E-2</v>
      </c>
      <c r="J89" s="166">
        <f t="shared" si="45"/>
        <v>39.169642857142854</v>
      </c>
      <c r="K89" s="165">
        <f t="shared" si="46"/>
        <v>181</v>
      </c>
      <c r="L89" s="165">
        <f t="shared" si="47"/>
        <v>4387</v>
      </c>
      <c r="M89" s="166">
        <f t="shared" si="44"/>
        <v>1.6871089724647616E-3</v>
      </c>
    </row>
    <row r="90" spans="2:13" x14ac:dyDescent="0.25">
      <c r="B90" s="164" t="s">
        <v>133</v>
      </c>
      <c r="C90" s="165">
        <v>4636</v>
      </c>
      <c r="D90" s="165">
        <v>405</v>
      </c>
      <c r="E90" s="165">
        <v>3155</v>
      </c>
      <c r="F90" s="165">
        <v>5658</v>
      </c>
      <c r="G90" s="165">
        <v>5939</v>
      </c>
      <c r="H90" s="165">
        <v>4003</v>
      </c>
      <c r="I90" s="180">
        <f t="shared" si="48"/>
        <v>-0.32598080484930125</v>
      </c>
      <c r="J90" s="166">
        <f t="shared" si="45"/>
        <v>8.8839506172839506</v>
      </c>
      <c r="K90" s="165">
        <f t="shared" si="46"/>
        <v>-1936</v>
      </c>
      <c r="L90" s="165">
        <f t="shared" si="47"/>
        <v>3598</v>
      </c>
      <c r="M90" s="166">
        <f t="shared" si="44"/>
        <v>1.5011107394479752E-3</v>
      </c>
    </row>
    <row r="91" spans="2:13" x14ac:dyDescent="0.25">
      <c r="B91" s="169" t="s">
        <v>147</v>
      </c>
      <c r="C91" s="170">
        <f t="shared" ref="C91" si="49">C83-SUM(C84:C90)</f>
        <v>29460</v>
      </c>
      <c r="D91" s="170">
        <f t="shared" ref="D91:E91" si="50">D83-SUM(D84:D90)</f>
        <v>14696</v>
      </c>
      <c r="E91" s="170">
        <f t="shared" si="50"/>
        <v>55321</v>
      </c>
      <c r="F91" s="170">
        <f t="shared" ref="F91:H91" si="51">F83-SUM(F84:F90)</f>
        <v>70324</v>
      </c>
      <c r="G91" s="170">
        <f t="shared" si="51"/>
        <v>83109</v>
      </c>
      <c r="H91" s="170">
        <f t="shared" si="51"/>
        <v>90089</v>
      </c>
      <c r="I91" s="181">
        <f t="shared" si="48"/>
        <v>8.3986090555776105E-2</v>
      </c>
      <c r="J91" s="171">
        <f t="shared" si="45"/>
        <v>5.1301714752313554</v>
      </c>
      <c r="K91" s="170">
        <f>H91-G91</f>
        <v>6980</v>
      </c>
      <c r="L91" s="170">
        <f t="shared" si="47"/>
        <v>75393</v>
      </c>
      <c r="M91" s="171">
        <f t="shared" si="44"/>
        <v>3.3783054060986417E-2</v>
      </c>
    </row>
    <row r="92" spans="2:13" x14ac:dyDescent="0.25">
      <c r="B92" s="156" t="s">
        <v>51</v>
      </c>
      <c r="C92" s="154"/>
      <c r="D92" s="154"/>
      <c r="E92" s="154"/>
      <c r="F92" s="154"/>
      <c r="G92" s="154"/>
      <c r="H92" s="154"/>
      <c r="I92" s="155"/>
      <c r="J92" s="155"/>
      <c r="K92" s="155"/>
      <c r="L92" s="154"/>
      <c r="M92" s="154"/>
    </row>
    <row r="93" spans="2:13" x14ac:dyDescent="0.25">
      <c r="B93" s="157" t="s">
        <v>70</v>
      </c>
      <c r="C93" s="177">
        <v>12754</v>
      </c>
      <c r="D93" s="177">
        <v>11802</v>
      </c>
      <c r="E93" s="177">
        <v>24671</v>
      </c>
      <c r="F93" s="177">
        <v>30683</v>
      </c>
      <c r="G93" s="177">
        <v>29198</v>
      </c>
      <c r="H93" s="177">
        <v>28272</v>
      </c>
      <c r="I93" s="178">
        <f>IFERROR(H93/G93-1,"-")</f>
        <v>-3.1714500993218708E-2</v>
      </c>
      <c r="J93" s="178">
        <f>IFERROR(H93/D93-1,"-")</f>
        <v>1.3955261820030502</v>
      </c>
      <c r="K93" s="177">
        <f>H93-G93</f>
        <v>-926</v>
      </c>
      <c r="L93" s="177">
        <f>H93-D93</f>
        <v>16470</v>
      </c>
      <c r="M93" s="178">
        <f t="shared" ref="M93:M105" si="52">H93/H$9</f>
        <v>1.0601899281956822E-2</v>
      </c>
    </row>
    <row r="94" spans="2:13" x14ac:dyDescent="0.25">
      <c r="B94" s="160" t="s">
        <v>99</v>
      </c>
      <c r="C94" s="161">
        <v>7454</v>
      </c>
      <c r="D94" s="161">
        <v>7418</v>
      </c>
      <c r="E94" s="161">
        <v>15383</v>
      </c>
      <c r="F94" s="161">
        <v>19920</v>
      </c>
      <c r="G94" s="161">
        <v>16896</v>
      </c>
      <c r="H94" s="161">
        <v>16644</v>
      </c>
      <c r="I94" s="179">
        <f>IFERROR(H94/G94-1,"-")</f>
        <v>-1.4914772727272707E-2</v>
      </c>
      <c r="J94" s="162">
        <f t="shared" ref="J94:J105" si="53">IFERROR(H94/D94-1,"-")</f>
        <v>1.2437314640064709</v>
      </c>
      <c r="K94" s="161">
        <f t="shared" ref="K94:K104" si="54">H94-G94</f>
        <v>-252</v>
      </c>
      <c r="L94" s="161">
        <f t="shared" ref="L94:L105" si="55">H94-D94</f>
        <v>9226</v>
      </c>
      <c r="M94" s="162">
        <f t="shared" si="52"/>
        <v>6.24144070631329E-3</v>
      </c>
    </row>
    <row r="95" spans="2:13" x14ac:dyDescent="0.25">
      <c r="B95" s="164" t="s">
        <v>105</v>
      </c>
      <c r="C95" s="165">
        <v>4239</v>
      </c>
      <c r="D95" s="165">
        <v>4253</v>
      </c>
      <c r="E95" s="165">
        <v>7500</v>
      </c>
      <c r="F95" s="165">
        <v>5955</v>
      </c>
      <c r="G95" s="165">
        <v>4664</v>
      </c>
      <c r="H95" s="165">
        <v>5394</v>
      </c>
      <c r="I95" s="180">
        <f>IFERROR(H95/G95-1,"-")</f>
        <v>0.15651801029159529</v>
      </c>
      <c r="J95" s="166">
        <f t="shared" si="53"/>
        <v>0.26828121326122734</v>
      </c>
      <c r="K95" s="165">
        <f t="shared" si="54"/>
        <v>730</v>
      </c>
      <c r="L95" s="165">
        <f t="shared" si="55"/>
        <v>1141</v>
      </c>
      <c r="M95" s="166">
        <f t="shared" si="52"/>
        <v>2.0227307840575515E-3</v>
      </c>
    </row>
    <row r="96" spans="2:13" x14ac:dyDescent="0.25">
      <c r="B96" s="164" t="s">
        <v>102</v>
      </c>
      <c r="C96" s="165">
        <v>3215</v>
      </c>
      <c r="D96" s="165">
        <v>3165</v>
      </c>
      <c r="E96" s="165">
        <v>7883</v>
      </c>
      <c r="F96" s="165">
        <v>13965</v>
      </c>
      <c r="G96" s="165">
        <v>12232</v>
      </c>
      <c r="H96" s="165">
        <v>11250</v>
      </c>
      <c r="I96" s="180">
        <f>IFERROR(H96/G96-1,"-")</f>
        <v>-8.0281229561805056E-2</v>
      </c>
      <c r="J96" s="166">
        <f t="shared" si="53"/>
        <v>2.5545023696682465</v>
      </c>
      <c r="K96" s="165">
        <f t="shared" si="54"/>
        <v>-982</v>
      </c>
      <c r="L96" s="165">
        <f t="shared" si="55"/>
        <v>8085</v>
      </c>
      <c r="M96" s="166">
        <f t="shared" si="52"/>
        <v>4.218709922255739E-3</v>
      </c>
    </row>
    <row r="97" spans="2:13" x14ac:dyDescent="0.25">
      <c r="B97" s="160" t="s">
        <v>109</v>
      </c>
      <c r="C97" s="161">
        <v>5300</v>
      </c>
      <c r="D97" s="161">
        <v>4384</v>
      </c>
      <c r="E97" s="161">
        <v>9288</v>
      </c>
      <c r="F97" s="161">
        <v>10763</v>
      </c>
      <c r="G97" s="161">
        <v>12302</v>
      </c>
      <c r="H97" s="161">
        <v>11628</v>
      </c>
      <c r="I97" s="179">
        <f>IFERROR(H97/G97-1,"-")</f>
        <v>-5.47878393757113E-2</v>
      </c>
      <c r="J97" s="162">
        <f t="shared" si="53"/>
        <v>1.6523722627737225</v>
      </c>
      <c r="K97" s="161">
        <f t="shared" si="54"/>
        <v>-674</v>
      </c>
      <c r="L97" s="161">
        <f t="shared" si="55"/>
        <v>7244</v>
      </c>
      <c r="M97" s="162">
        <f t="shared" si="52"/>
        <v>4.3604585756435313E-3</v>
      </c>
    </row>
    <row r="98" spans="2:13" x14ac:dyDescent="0.25">
      <c r="B98" s="164" t="s">
        <v>112</v>
      </c>
      <c r="C98" s="165">
        <v>994</v>
      </c>
      <c r="D98" s="165">
        <v>145</v>
      </c>
      <c r="E98" s="165">
        <v>1307</v>
      </c>
      <c r="F98" s="165">
        <v>1561</v>
      </c>
      <c r="G98" s="165">
        <v>1845</v>
      </c>
      <c r="H98" s="165">
        <v>1552</v>
      </c>
      <c r="I98" s="180">
        <f t="shared" ref="I98:I105" si="56">IFERROR(H98/G98-1,"-")</f>
        <v>-0.1588075880758808</v>
      </c>
      <c r="J98" s="166">
        <f t="shared" si="53"/>
        <v>9.703448275862069</v>
      </c>
      <c r="K98" s="165">
        <f t="shared" si="54"/>
        <v>-293</v>
      </c>
      <c r="L98" s="165">
        <f t="shared" si="55"/>
        <v>1407</v>
      </c>
      <c r="M98" s="166">
        <f t="shared" si="52"/>
        <v>5.8199447105252496E-4</v>
      </c>
    </row>
    <row r="99" spans="2:13" x14ac:dyDescent="0.25">
      <c r="B99" s="164" t="s">
        <v>115</v>
      </c>
      <c r="C99" s="165">
        <v>1071</v>
      </c>
      <c r="D99" s="165">
        <v>659</v>
      </c>
      <c r="E99" s="165">
        <v>1843</v>
      </c>
      <c r="F99" s="165">
        <v>2024</v>
      </c>
      <c r="G99" s="165">
        <v>2489</v>
      </c>
      <c r="H99" s="165">
        <v>2173</v>
      </c>
      <c r="I99" s="180">
        <f t="shared" si="56"/>
        <v>-0.12695861791884289</v>
      </c>
      <c r="J99" s="166">
        <f t="shared" si="53"/>
        <v>2.2974203338391503</v>
      </c>
      <c r="K99" s="165">
        <f t="shared" si="54"/>
        <v>-316</v>
      </c>
      <c r="L99" s="165">
        <f t="shared" si="55"/>
        <v>1514</v>
      </c>
      <c r="M99" s="166">
        <f t="shared" si="52"/>
        <v>8.1486725876104172E-4</v>
      </c>
    </row>
    <row r="100" spans="2:13" x14ac:dyDescent="0.25">
      <c r="B100" s="164" t="s">
        <v>118</v>
      </c>
      <c r="C100" s="165">
        <v>1161</v>
      </c>
      <c r="D100" s="165">
        <v>1852</v>
      </c>
      <c r="E100" s="165">
        <v>1779</v>
      </c>
      <c r="F100" s="165">
        <v>2117</v>
      </c>
      <c r="G100" s="165">
        <v>2082</v>
      </c>
      <c r="H100" s="165">
        <v>2030</v>
      </c>
      <c r="I100" s="180">
        <f t="shared" si="56"/>
        <v>-2.4975984630163262E-2</v>
      </c>
      <c r="J100" s="166">
        <f t="shared" si="53"/>
        <v>9.6112311015118745E-2</v>
      </c>
      <c r="K100" s="165">
        <f t="shared" si="54"/>
        <v>-52</v>
      </c>
      <c r="L100" s="165">
        <f t="shared" si="55"/>
        <v>178</v>
      </c>
      <c r="M100" s="166">
        <f t="shared" si="52"/>
        <v>7.612427681937022E-4</v>
      </c>
    </row>
    <row r="101" spans="2:13" x14ac:dyDescent="0.25">
      <c r="B101" s="164" t="s">
        <v>125</v>
      </c>
      <c r="C101" s="165">
        <v>265</v>
      </c>
      <c r="D101" s="165">
        <v>84</v>
      </c>
      <c r="E101" s="165">
        <v>672</v>
      </c>
      <c r="F101" s="165">
        <v>531</v>
      </c>
      <c r="G101" s="165">
        <v>598</v>
      </c>
      <c r="H101" s="165">
        <v>576</v>
      </c>
      <c r="I101" s="180">
        <f t="shared" si="56"/>
        <v>-3.6789297658862852E-2</v>
      </c>
      <c r="J101" s="166">
        <f t="shared" si="53"/>
        <v>5.8571428571428568</v>
      </c>
      <c r="K101" s="165">
        <f t="shared" si="54"/>
        <v>-22</v>
      </c>
      <c r="L101" s="165">
        <f t="shared" si="55"/>
        <v>492</v>
      </c>
      <c r="M101" s="166">
        <f t="shared" si="52"/>
        <v>2.1599794801949383E-4</v>
      </c>
    </row>
    <row r="102" spans="2:13" x14ac:dyDescent="0.25">
      <c r="B102" s="164" t="s">
        <v>121</v>
      </c>
      <c r="C102" s="165">
        <v>132</v>
      </c>
      <c r="D102" s="165">
        <v>154</v>
      </c>
      <c r="E102" s="165">
        <v>373</v>
      </c>
      <c r="F102" s="165">
        <v>293</v>
      </c>
      <c r="G102" s="165">
        <v>514</v>
      </c>
      <c r="H102" s="165">
        <v>484</v>
      </c>
      <c r="I102" s="180">
        <f t="shared" si="56"/>
        <v>-5.8365758754863828E-2</v>
      </c>
      <c r="J102" s="166">
        <f t="shared" si="53"/>
        <v>2.1428571428571428</v>
      </c>
      <c r="K102" s="165">
        <f t="shared" si="54"/>
        <v>-30</v>
      </c>
      <c r="L102" s="165">
        <f t="shared" si="55"/>
        <v>330</v>
      </c>
      <c r="M102" s="166">
        <f t="shared" si="52"/>
        <v>1.8149827576638021E-4</v>
      </c>
    </row>
    <row r="103" spans="2:13" x14ac:dyDescent="0.25">
      <c r="B103" s="164" t="s">
        <v>130</v>
      </c>
      <c r="C103" s="165">
        <v>112</v>
      </c>
      <c r="D103" s="165">
        <v>17</v>
      </c>
      <c r="E103" s="165">
        <v>182</v>
      </c>
      <c r="F103" s="165">
        <v>87</v>
      </c>
      <c r="G103" s="165">
        <v>151</v>
      </c>
      <c r="H103" s="165">
        <v>128</v>
      </c>
      <c r="I103" s="180">
        <f t="shared" si="56"/>
        <v>-0.15231788079470199</v>
      </c>
      <c r="J103" s="166">
        <f t="shared" si="53"/>
        <v>6.5294117647058822</v>
      </c>
      <c r="K103" s="165">
        <f t="shared" si="54"/>
        <v>-23</v>
      </c>
      <c r="L103" s="165">
        <f t="shared" si="55"/>
        <v>111</v>
      </c>
      <c r="M103" s="166">
        <f t="shared" si="52"/>
        <v>4.7999544004331957E-5</v>
      </c>
    </row>
    <row r="104" spans="2:13" x14ac:dyDescent="0.25">
      <c r="B104" s="164" t="s">
        <v>133</v>
      </c>
      <c r="C104" s="165">
        <v>61</v>
      </c>
      <c r="D104" s="165">
        <v>42</v>
      </c>
      <c r="E104" s="165">
        <v>99</v>
      </c>
      <c r="F104" s="165">
        <v>155</v>
      </c>
      <c r="G104" s="165">
        <v>265</v>
      </c>
      <c r="H104" s="165">
        <v>143</v>
      </c>
      <c r="I104" s="180">
        <f t="shared" si="56"/>
        <v>-0.46037735849056605</v>
      </c>
      <c r="J104" s="166">
        <f t="shared" si="53"/>
        <v>2.4047619047619047</v>
      </c>
      <c r="K104" s="165">
        <f t="shared" si="54"/>
        <v>-122</v>
      </c>
      <c r="L104" s="165">
        <f t="shared" si="55"/>
        <v>101</v>
      </c>
      <c r="M104" s="166">
        <f t="shared" si="52"/>
        <v>5.3624490567339613E-5</v>
      </c>
    </row>
    <row r="105" spans="2:13" x14ac:dyDescent="0.25">
      <c r="B105" s="169" t="s">
        <v>147</v>
      </c>
      <c r="C105" s="170">
        <f t="shared" ref="C105" si="57">C97-SUM(C98:C104)</f>
        <v>1504</v>
      </c>
      <c r="D105" s="170">
        <f t="shared" ref="D105:E105" si="58">D97-SUM(D98:D104)</f>
        <v>1431</v>
      </c>
      <c r="E105" s="170">
        <f t="shared" si="58"/>
        <v>3033</v>
      </c>
      <c r="F105" s="170">
        <f t="shared" ref="F105:H105" si="59">F97-SUM(F98:F104)</f>
        <v>3995</v>
      </c>
      <c r="G105" s="170">
        <f t="shared" si="59"/>
        <v>4358</v>
      </c>
      <c r="H105" s="170">
        <f t="shared" si="59"/>
        <v>4542</v>
      </c>
      <c r="I105" s="181">
        <f t="shared" si="56"/>
        <v>4.222120238641569E-2</v>
      </c>
      <c r="J105" s="171">
        <f t="shared" si="53"/>
        <v>2.1740041928721174</v>
      </c>
      <c r="K105" s="170">
        <f>H105-G105</f>
        <v>184</v>
      </c>
      <c r="L105" s="170">
        <f t="shared" si="55"/>
        <v>3111</v>
      </c>
      <c r="M105" s="171">
        <f t="shared" si="52"/>
        <v>1.7032338192787169E-3</v>
      </c>
    </row>
    <row r="106" spans="2:13" x14ac:dyDescent="0.25">
      <c r="B106" s="156" t="s">
        <v>52</v>
      </c>
      <c r="C106" s="154"/>
      <c r="D106" s="154"/>
      <c r="E106" s="154"/>
      <c r="F106" s="154"/>
      <c r="G106" s="154"/>
      <c r="H106" s="154"/>
      <c r="I106" s="155"/>
      <c r="J106" s="155"/>
      <c r="K106" s="155"/>
      <c r="L106" s="154"/>
      <c r="M106" s="154"/>
    </row>
    <row r="107" spans="2:13" x14ac:dyDescent="0.25">
      <c r="B107" s="157" t="s">
        <v>70</v>
      </c>
      <c r="C107" s="177">
        <v>36009</v>
      </c>
      <c r="D107" s="177">
        <v>32678</v>
      </c>
      <c r="E107" s="177">
        <v>92080</v>
      </c>
      <c r="F107" s="177">
        <v>126756</v>
      </c>
      <c r="G107" s="177">
        <v>118276</v>
      </c>
      <c r="H107" s="177">
        <v>128577</v>
      </c>
      <c r="I107" s="178">
        <f>IFERROR(H107/G107-1,"-")</f>
        <v>8.7092901349386187E-2</v>
      </c>
      <c r="J107" s="178">
        <f>IFERROR(H107/D107-1,"-")</f>
        <v>2.9346655242058879</v>
      </c>
      <c r="K107" s="177">
        <f>H107-G107</f>
        <v>10301</v>
      </c>
      <c r="L107" s="177">
        <f>H107-D107</f>
        <v>95899</v>
      </c>
      <c r="M107" s="178">
        <f t="shared" ref="M107:M119" si="60">H107/H$9</f>
        <v>4.8215916948788989E-2</v>
      </c>
    </row>
    <row r="108" spans="2:13" x14ac:dyDescent="0.25">
      <c r="B108" s="160" t="s">
        <v>99</v>
      </c>
      <c r="C108" s="161">
        <v>7208</v>
      </c>
      <c r="D108" s="161">
        <v>19665</v>
      </c>
      <c r="E108" s="161">
        <v>19181</v>
      </c>
      <c r="F108" s="161">
        <v>24592</v>
      </c>
      <c r="G108" s="161">
        <v>22839</v>
      </c>
      <c r="H108" s="161">
        <v>25193</v>
      </c>
      <c r="I108" s="179">
        <f>IFERROR(H108/G108-1,"-")</f>
        <v>0.1030693112658172</v>
      </c>
      <c r="J108" s="162">
        <f t="shared" ref="J108:J119" si="61">IFERROR(H108/D108-1,"-")</f>
        <v>0.28110856852275612</v>
      </c>
      <c r="K108" s="161">
        <f t="shared" ref="K108:K118" si="62">H108-G108</f>
        <v>2354</v>
      </c>
      <c r="L108" s="161">
        <f t="shared" ref="L108:L119" si="63">H108-D108</f>
        <v>5528</v>
      </c>
      <c r="M108" s="162">
        <f t="shared" si="60"/>
        <v>9.4472852507901176E-3</v>
      </c>
    </row>
    <row r="109" spans="2:13" x14ac:dyDescent="0.25">
      <c r="B109" s="164" t="s">
        <v>105</v>
      </c>
      <c r="C109" s="165">
        <v>1451</v>
      </c>
      <c r="D109" s="165">
        <v>14560</v>
      </c>
      <c r="E109" s="165">
        <v>7536</v>
      </c>
      <c r="F109" s="165">
        <v>9982</v>
      </c>
      <c r="G109" s="165">
        <v>6776</v>
      </c>
      <c r="H109" s="165">
        <v>8640</v>
      </c>
      <c r="I109" s="180">
        <f>IFERROR(H109/G109-1,"-")</f>
        <v>0.27508854781582048</v>
      </c>
      <c r="J109" s="166">
        <f t="shared" si="61"/>
        <v>-0.40659340659340659</v>
      </c>
      <c r="K109" s="165">
        <f t="shared" si="62"/>
        <v>1864</v>
      </c>
      <c r="L109" s="165">
        <f t="shared" si="63"/>
        <v>-5920</v>
      </c>
      <c r="M109" s="166">
        <f t="shared" si="60"/>
        <v>3.2399692202924072E-3</v>
      </c>
    </row>
    <row r="110" spans="2:13" x14ac:dyDescent="0.25">
      <c r="B110" s="164" t="s">
        <v>102</v>
      </c>
      <c r="C110" s="165">
        <v>5757</v>
      </c>
      <c r="D110" s="165">
        <v>5105</v>
      </c>
      <c r="E110" s="165">
        <v>11645</v>
      </c>
      <c r="F110" s="165">
        <v>14610</v>
      </c>
      <c r="G110" s="165">
        <v>16063</v>
      </c>
      <c r="H110" s="165">
        <v>16553</v>
      </c>
      <c r="I110" s="180">
        <f>IFERROR(H110/G110-1,"-")</f>
        <v>3.0504887007408277E-2</v>
      </c>
      <c r="J110" s="166">
        <f t="shared" si="61"/>
        <v>2.2425073457394711</v>
      </c>
      <c r="K110" s="165">
        <f t="shared" si="62"/>
        <v>490</v>
      </c>
      <c r="L110" s="165">
        <f t="shared" si="63"/>
        <v>11448</v>
      </c>
      <c r="M110" s="166">
        <f t="shared" si="60"/>
        <v>6.2073160304977103E-3</v>
      </c>
    </row>
    <row r="111" spans="2:13" x14ac:dyDescent="0.25">
      <c r="B111" s="160" t="s">
        <v>109</v>
      </c>
      <c r="C111" s="161">
        <v>28801</v>
      </c>
      <c r="D111" s="161">
        <v>13013</v>
      </c>
      <c r="E111" s="161">
        <v>72899</v>
      </c>
      <c r="F111" s="161">
        <v>102164</v>
      </c>
      <c r="G111" s="161">
        <v>95437</v>
      </c>
      <c r="H111" s="161">
        <v>103384</v>
      </c>
      <c r="I111" s="179">
        <f>IFERROR(H111/G111-1,"-")</f>
        <v>8.3269591458239534E-2</v>
      </c>
      <c r="J111" s="162">
        <f t="shared" si="61"/>
        <v>6.9446707139014832</v>
      </c>
      <c r="K111" s="161">
        <f t="shared" si="62"/>
        <v>7947</v>
      </c>
      <c r="L111" s="161">
        <f t="shared" si="63"/>
        <v>90371</v>
      </c>
      <c r="M111" s="162">
        <f t="shared" si="60"/>
        <v>3.8768631697998872E-2</v>
      </c>
    </row>
    <row r="112" spans="2:13" x14ac:dyDescent="0.25">
      <c r="B112" s="164" t="s">
        <v>112</v>
      </c>
      <c r="C112" s="165">
        <v>15739</v>
      </c>
      <c r="D112" s="165">
        <v>1478</v>
      </c>
      <c r="E112" s="165">
        <v>41971</v>
      </c>
      <c r="F112" s="165">
        <v>65849</v>
      </c>
      <c r="G112" s="165">
        <v>57884</v>
      </c>
      <c r="H112" s="165">
        <v>60238</v>
      </c>
      <c r="I112" s="180">
        <f t="shared" ref="I112:I119" si="64">IFERROR(H112/G112-1,"-")</f>
        <v>4.06675419805127E-2</v>
      </c>
      <c r="J112" s="166">
        <f t="shared" si="61"/>
        <v>39.756427604871448</v>
      </c>
      <c r="K112" s="165">
        <f t="shared" si="62"/>
        <v>2354</v>
      </c>
      <c r="L112" s="165">
        <f t="shared" si="63"/>
        <v>58760</v>
      </c>
      <c r="M112" s="166">
        <f t="shared" si="60"/>
        <v>2.2589035404163661E-2</v>
      </c>
    </row>
    <row r="113" spans="2:13" x14ac:dyDescent="0.25">
      <c r="B113" s="164" t="s">
        <v>115</v>
      </c>
      <c r="C113" s="165">
        <v>1827</v>
      </c>
      <c r="D113" s="165">
        <v>3751</v>
      </c>
      <c r="E113" s="165">
        <v>3633</v>
      </c>
      <c r="F113" s="165">
        <v>4995</v>
      </c>
      <c r="G113" s="165">
        <v>4429</v>
      </c>
      <c r="H113" s="165">
        <v>5263</v>
      </c>
      <c r="I113" s="180">
        <f t="shared" si="64"/>
        <v>0.18830435764280873</v>
      </c>
      <c r="J113" s="166">
        <f t="shared" si="61"/>
        <v>0.4030925086643562</v>
      </c>
      <c r="K113" s="165">
        <f t="shared" si="62"/>
        <v>834</v>
      </c>
      <c r="L113" s="165">
        <f t="shared" si="63"/>
        <v>1512</v>
      </c>
      <c r="M113" s="166">
        <f t="shared" si="60"/>
        <v>1.9736062507406181E-3</v>
      </c>
    </row>
    <row r="114" spans="2:13" x14ac:dyDescent="0.25">
      <c r="B114" s="164" t="s">
        <v>118</v>
      </c>
      <c r="C114" s="165">
        <v>1518</v>
      </c>
      <c r="D114" s="165">
        <v>2692</v>
      </c>
      <c r="E114" s="165">
        <v>4513</v>
      </c>
      <c r="F114" s="165">
        <v>8423</v>
      </c>
      <c r="G114" s="165">
        <v>6264</v>
      </c>
      <c r="H114" s="165">
        <v>7976</v>
      </c>
      <c r="I114" s="180">
        <f t="shared" si="64"/>
        <v>0.27330779054916987</v>
      </c>
      <c r="J114" s="166">
        <f t="shared" si="61"/>
        <v>1.9628528974739972</v>
      </c>
      <c r="K114" s="165">
        <f t="shared" si="62"/>
        <v>1712</v>
      </c>
      <c r="L114" s="165">
        <f t="shared" si="63"/>
        <v>5284</v>
      </c>
      <c r="M114" s="166">
        <f t="shared" si="60"/>
        <v>2.990971585769935E-3</v>
      </c>
    </row>
    <row r="115" spans="2:13" x14ac:dyDescent="0.25">
      <c r="B115" s="164" t="s">
        <v>125</v>
      </c>
      <c r="C115" s="165">
        <v>586</v>
      </c>
      <c r="D115" s="165">
        <v>755</v>
      </c>
      <c r="E115" s="165">
        <v>3676</v>
      </c>
      <c r="F115" s="165">
        <v>3101</v>
      </c>
      <c r="G115" s="165">
        <v>3519</v>
      </c>
      <c r="H115" s="165">
        <v>3554</v>
      </c>
      <c r="I115" s="180">
        <f t="shared" si="64"/>
        <v>9.9460073884627409E-3</v>
      </c>
      <c r="J115" s="166">
        <f t="shared" si="61"/>
        <v>3.7072847682119203</v>
      </c>
      <c r="K115" s="165">
        <f t="shared" si="62"/>
        <v>35</v>
      </c>
      <c r="L115" s="165">
        <f t="shared" si="63"/>
        <v>2799</v>
      </c>
      <c r="M115" s="166">
        <f t="shared" si="60"/>
        <v>1.3327373389952796E-3</v>
      </c>
    </row>
    <row r="116" spans="2:13" x14ac:dyDescent="0.25">
      <c r="B116" s="164" t="s">
        <v>121</v>
      </c>
      <c r="C116" s="165">
        <v>875</v>
      </c>
      <c r="D116" s="165">
        <v>995</v>
      </c>
      <c r="E116" s="165">
        <v>2405</v>
      </c>
      <c r="F116" s="165">
        <v>2335</v>
      </c>
      <c r="G116" s="165">
        <v>2642</v>
      </c>
      <c r="H116" s="165">
        <v>2479</v>
      </c>
      <c r="I116" s="180">
        <f t="shared" si="64"/>
        <v>-6.1695685087055252E-2</v>
      </c>
      <c r="J116" s="166">
        <f t="shared" si="61"/>
        <v>1.4914572864321607</v>
      </c>
      <c r="K116" s="165">
        <f t="shared" si="62"/>
        <v>-163</v>
      </c>
      <c r="L116" s="165">
        <f t="shared" si="63"/>
        <v>1484</v>
      </c>
      <c r="M116" s="166">
        <f t="shared" si="60"/>
        <v>9.2961616864639782E-4</v>
      </c>
    </row>
    <row r="117" spans="2:13" x14ac:dyDescent="0.25">
      <c r="B117" s="164" t="s">
        <v>130</v>
      </c>
      <c r="C117" s="165">
        <v>386</v>
      </c>
      <c r="D117" s="165">
        <v>14</v>
      </c>
      <c r="E117" s="165">
        <v>471</v>
      </c>
      <c r="F117" s="165">
        <v>700</v>
      </c>
      <c r="G117" s="165">
        <v>878</v>
      </c>
      <c r="H117" s="165">
        <v>838</v>
      </c>
      <c r="I117" s="180">
        <f t="shared" si="64"/>
        <v>-4.5558086560364419E-2</v>
      </c>
      <c r="J117" s="166">
        <f t="shared" si="61"/>
        <v>58.857142857142854</v>
      </c>
      <c r="K117" s="165">
        <f t="shared" si="62"/>
        <v>-40</v>
      </c>
      <c r="L117" s="165">
        <f t="shared" si="63"/>
        <v>824</v>
      </c>
      <c r="M117" s="166">
        <f t="shared" si="60"/>
        <v>3.142470146533608E-4</v>
      </c>
    </row>
    <row r="118" spans="2:13" x14ac:dyDescent="0.25">
      <c r="B118" s="164" t="s">
        <v>133</v>
      </c>
      <c r="C118" s="165">
        <v>909</v>
      </c>
      <c r="D118" s="165">
        <v>20</v>
      </c>
      <c r="E118" s="165">
        <v>701</v>
      </c>
      <c r="F118" s="165">
        <v>437</v>
      </c>
      <c r="G118" s="165">
        <v>1078</v>
      </c>
      <c r="H118" s="165">
        <v>719</v>
      </c>
      <c r="I118" s="180">
        <f t="shared" si="64"/>
        <v>-0.33302411873840443</v>
      </c>
      <c r="J118" s="166">
        <f t="shared" si="61"/>
        <v>34.950000000000003</v>
      </c>
      <c r="K118" s="165">
        <f t="shared" si="62"/>
        <v>-359</v>
      </c>
      <c r="L118" s="165">
        <f t="shared" si="63"/>
        <v>699</v>
      </c>
      <c r="M118" s="166">
        <f t="shared" si="60"/>
        <v>2.6962243858683342E-4</v>
      </c>
    </row>
    <row r="119" spans="2:13" x14ac:dyDescent="0.25">
      <c r="B119" s="169" t="s">
        <v>147</v>
      </c>
      <c r="C119" s="170">
        <f t="shared" ref="C119" si="65">C111-SUM(C112:C118)</f>
        <v>6961</v>
      </c>
      <c r="D119" s="170">
        <f t="shared" ref="D119:E119" si="66">D111-SUM(D112:D118)</f>
        <v>3308</v>
      </c>
      <c r="E119" s="170">
        <f t="shared" si="66"/>
        <v>15529</v>
      </c>
      <c r="F119" s="170">
        <f t="shared" ref="F119:H119" si="67">F111-SUM(F112:F118)</f>
        <v>16324</v>
      </c>
      <c r="G119" s="170">
        <f t="shared" si="67"/>
        <v>18743</v>
      </c>
      <c r="H119" s="170">
        <f t="shared" si="67"/>
        <v>22317</v>
      </c>
      <c r="I119" s="181">
        <f t="shared" si="64"/>
        <v>0.19068452222162935</v>
      </c>
      <c r="J119" s="171">
        <f t="shared" si="61"/>
        <v>5.7463724304715837</v>
      </c>
      <c r="K119" s="170">
        <f>H119-G119</f>
        <v>3574</v>
      </c>
      <c r="L119" s="170">
        <f t="shared" si="63"/>
        <v>19009</v>
      </c>
      <c r="M119" s="171">
        <f t="shared" si="60"/>
        <v>8.3687954964427845E-3</v>
      </c>
    </row>
    <row r="120" spans="2:13" x14ac:dyDescent="0.25">
      <c r="B120" s="156" t="s">
        <v>53</v>
      </c>
      <c r="C120" s="154"/>
      <c r="D120" s="154"/>
      <c r="E120" s="154"/>
      <c r="F120" s="154"/>
      <c r="G120" s="154"/>
      <c r="H120" s="154"/>
      <c r="I120" s="155"/>
      <c r="J120" s="155"/>
      <c r="K120" s="155"/>
      <c r="L120" s="154"/>
      <c r="M120" s="154"/>
    </row>
    <row r="121" spans="2:13" x14ac:dyDescent="0.25">
      <c r="B121" s="157" t="s">
        <v>70</v>
      </c>
      <c r="C121" s="177">
        <v>52853</v>
      </c>
      <c r="D121" s="177">
        <v>58803</v>
      </c>
      <c r="E121" s="177">
        <v>104421</v>
      </c>
      <c r="F121" s="177">
        <v>126576</v>
      </c>
      <c r="G121" s="177">
        <v>125410</v>
      </c>
      <c r="H121" s="177">
        <v>140761</v>
      </c>
      <c r="I121" s="178">
        <f>IFERROR(H121/G121-1,"-")</f>
        <v>0.12240650665816122</v>
      </c>
      <c r="J121" s="178">
        <f>IFERROR(H121/D121-1,"-")</f>
        <v>1.3937724265768754</v>
      </c>
      <c r="K121" s="177">
        <f>H121-G121</f>
        <v>15351</v>
      </c>
      <c r="L121" s="177">
        <f>H121-D121</f>
        <v>81958</v>
      </c>
      <c r="M121" s="178">
        <f t="shared" ref="M121:M133" si="68">H121/H$9</f>
        <v>5.2784873543701337E-2</v>
      </c>
    </row>
    <row r="122" spans="2:13" x14ac:dyDescent="0.25">
      <c r="B122" s="160" t="s">
        <v>99</v>
      </c>
      <c r="C122" s="161">
        <v>26940</v>
      </c>
      <c r="D122" s="161">
        <v>38654</v>
      </c>
      <c r="E122" s="161">
        <v>62976</v>
      </c>
      <c r="F122" s="161">
        <v>76465</v>
      </c>
      <c r="G122" s="161">
        <v>75937</v>
      </c>
      <c r="H122" s="161">
        <v>87725</v>
      </c>
      <c r="I122" s="179">
        <f>IFERROR(H122/G122-1,"-")</f>
        <v>0.1552339439272028</v>
      </c>
      <c r="J122" s="162">
        <f t="shared" ref="J122:J133" si="69">IFERROR(H122/D122-1,"-")</f>
        <v>1.269493454752419</v>
      </c>
      <c r="K122" s="161">
        <f t="shared" ref="K122:K132" si="70">H122-G122</f>
        <v>11788</v>
      </c>
      <c r="L122" s="161">
        <f t="shared" ref="L122:L133" si="71">H122-D122</f>
        <v>49071</v>
      </c>
      <c r="M122" s="162">
        <f t="shared" si="68"/>
        <v>3.2896562482656412E-2</v>
      </c>
    </row>
    <row r="123" spans="2:13" x14ac:dyDescent="0.25">
      <c r="B123" s="164" t="s">
        <v>105</v>
      </c>
      <c r="C123" s="165">
        <v>13715</v>
      </c>
      <c r="D123" s="165">
        <v>20861</v>
      </c>
      <c r="E123" s="165">
        <v>31514</v>
      </c>
      <c r="F123" s="165">
        <v>35561</v>
      </c>
      <c r="G123" s="165">
        <v>34109</v>
      </c>
      <c r="H123" s="165">
        <v>44044</v>
      </c>
      <c r="I123" s="180">
        <f>IFERROR(H123/G123-1,"-")</f>
        <v>0.29127209827318312</v>
      </c>
      <c r="J123" s="166">
        <f t="shared" si="69"/>
        <v>1.11130818273333</v>
      </c>
      <c r="K123" s="165">
        <f t="shared" si="70"/>
        <v>9935</v>
      </c>
      <c r="L123" s="165">
        <f t="shared" si="71"/>
        <v>23183</v>
      </c>
      <c r="M123" s="166">
        <f t="shared" si="68"/>
        <v>1.65163430947406E-2</v>
      </c>
    </row>
    <row r="124" spans="2:13" x14ac:dyDescent="0.25">
      <c r="B124" s="164" t="s">
        <v>102</v>
      </c>
      <c r="C124" s="165">
        <v>13225</v>
      </c>
      <c r="D124" s="165">
        <v>17793</v>
      </c>
      <c r="E124" s="165">
        <v>31462</v>
      </c>
      <c r="F124" s="165">
        <v>40904</v>
      </c>
      <c r="G124" s="165">
        <v>41828</v>
      </c>
      <c r="H124" s="165">
        <v>43681</v>
      </c>
      <c r="I124" s="180">
        <f>IFERROR(H124/G124-1,"-")</f>
        <v>4.4300468585636521E-2</v>
      </c>
      <c r="J124" s="166">
        <f t="shared" si="69"/>
        <v>1.4549541954701288</v>
      </c>
      <c r="K124" s="165">
        <f t="shared" si="70"/>
        <v>1853</v>
      </c>
      <c r="L124" s="165">
        <f t="shared" si="71"/>
        <v>25888</v>
      </c>
      <c r="M124" s="166">
        <f t="shared" si="68"/>
        <v>1.6380219387915815E-2</v>
      </c>
    </row>
    <row r="125" spans="2:13" x14ac:dyDescent="0.25">
      <c r="B125" s="160" t="s">
        <v>109</v>
      </c>
      <c r="C125" s="161">
        <v>25913</v>
      </c>
      <c r="D125" s="161">
        <v>20149</v>
      </c>
      <c r="E125" s="161">
        <v>41445</v>
      </c>
      <c r="F125" s="161">
        <v>50111</v>
      </c>
      <c r="G125" s="161">
        <v>49473</v>
      </c>
      <c r="H125" s="161">
        <v>53036</v>
      </c>
      <c r="I125" s="179">
        <f>IFERROR(H125/G125-1,"-")</f>
        <v>7.20190811149517E-2</v>
      </c>
      <c r="J125" s="162">
        <f t="shared" si="69"/>
        <v>1.6321901831356396</v>
      </c>
      <c r="K125" s="161">
        <f t="shared" si="70"/>
        <v>3563</v>
      </c>
      <c r="L125" s="161">
        <f t="shared" si="71"/>
        <v>32887</v>
      </c>
      <c r="M125" s="162">
        <f t="shared" si="68"/>
        <v>1.9888311061044921E-2</v>
      </c>
    </row>
    <row r="126" spans="2:13" x14ac:dyDescent="0.25">
      <c r="B126" s="164" t="s">
        <v>112</v>
      </c>
      <c r="C126" s="165">
        <v>2810</v>
      </c>
      <c r="D126" s="165">
        <v>615</v>
      </c>
      <c r="E126" s="165">
        <v>4066</v>
      </c>
      <c r="F126" s="165">
        <v>6033</v>
      </c>
      <c r="G126" s="165">
        <v>6038</v>
      </c>
      <c r="H126" s="165">
        <v>5509</v>
      </c>
      <c r="I126" s="180">
        <f t="shared" ref="I126:I133" si="72">IFERROR(H126/G126-1,"-")</f>
        <v>-8.761179198410074E-2</v>
      </c>
      <c r="J126" s="166">
        <f t="shared" si="69"/>
        <v>7.9577235772357717</v>
      </c>
      <c r="K126" s="165">
        <f t="shared" si="70"/>
        <v>-529</v>
      </c>
      <c r="L126" s="165">
        <f t="shared" si="71"/>
        <v>4894</v>
      </c>
      <c r="M126" s="166">
        <f t="shared" si="68"/>
        <v>2.0658553743739434E-3</v>
      </c>
    </row>
    <row r="127" spans="2:13" x14ac:dyDescent="0.25">
      <c r="B127" s="164" t="s">
        <v>115</v>
      </c>
      <c r="C127" s="165">
        <v>2894</v>
      </c>
      <c r="D127" s="165">
        <v>2123</v>
      </c>
      <c r="E127" s="165">
        <v>4651</v>
      </c>
      <c r="F127" s="165">
        <v>7604</v>
      </c>
      <c r="G127" s="165">
        <v>7167</v>
      </c>
      <c r="H127" s="165">
        <v>8018</v>
      </c>
      <c r="I127" s="180">
        <f t="shared" si="72"/>
        <v>0.11873866331798522</v>
      </c>
      <c r="J127" s="166">
        <f t="shared" si="69"/>
        <v>2.7767310409797457</v>
      </c>
      <c r="K127" s="165">
        <f t="shared" si="70"/>
        <v>851</v>
      </c>
      <c r="L127" s="165">
        <f t="shared" si="71"/>
        <v>5895</v>
      </c>
      <c r="M127" s="166">
        <f t="shared" si="68"/>
        <v>3.0067214361463564E-3</v>
      </c>
    </row>
    <row r="128" spans="2:13" x14ac:dyDescent="0.25">
      <c r="B128" s="164" t="s">
        <v>118</v>
      </c>
      <c r="C128" s="165">
        <v>1950</v>
      </c>
      <c r="D128" s="165">
        <v>2898</v>
      </c>
      <c r="E128" s="165">
        <v>4036</v>
      </c>
      <c r="F128" s="165">
        <v>4476</v>
      </c>
      <c r="G128" s="165">
        <v>4146</v>
      </c>
      <c r="H128" s="165">
        <v>4275</v>
      </c>
      <c r="I128" s="180">
        <f t="shared" si="72"/>
        <v>3.1114327062228719E-2</v>
      </c>
      <c r="J128" s="166">
        <f t="shared" si="69"/>
        <v>0.47515527950310554</v>
      </c>
      <c r="K128" s="165">
        <f t="shared" si="70"/>
        <v>129</v>
      </c>
      <c r="L128" s="165">
        <f t="shared" si="71"/>
        <v>1377</v>
      </c>
      <c r="M128" s="166">
        <f t="shared" si="68"/>
        <v>1.6031097704571806E-3</v>
      </c>
    </row>
    <row r="129" spans="2:13" x14ac:dyDescent="0.25">
      <c r="B129" s="164" t="s">
        <v>125</v>
      </c>
      <c r="C129" s="165">
        <v>527</v>
      </c>
      <c r="D129" s="165">
        <v>311</v>
      </c>
      <c r="E129" s="165">
        <v>1177</v>
      </c>
      <c r="F129" s="165">
        <v>1213</v>
      </c>
      <c r="G129" s="165">
        <v>1249</v>
      </c>
      <c r="H129" s="165">
        <v>1298</v>
      </c>
      <c r="I129" s="180">
        <f t="shared" si="72"/>
        <v>3.9231385108086547E-2</v>
      </c>
      <c r="J129" s="166">
        <f t="shared" si="69"/>
        <v>3.1736334405144691</v>
      </c>
      <c r="K129" s="165">
        <f t="shared" si="70"/>
        <v>49</v>
      </c>
      <c r="L129" s="165">
        <f t="shared" si="71"/>
        <v>987</v>
      </c>
      <c r="M129" s="166">
        <f t="shared" si="68"/>
        <v>4.8674537591892876E-4</v>
      </c>
    </row>
    <row r="130" spans="2:13" x14ac:dyDescent="0.25">
      <c r="B130" s="164" t="s">
        <v>121</v>
      </c>
      <c r="C130" s="165">
        <v>455</v>
      </c>
      <c r="D130" s="165">
        <v>305</v>
      </c>
      <c r="E130" s="165">
        <v>877</v>
      </c>
      <c r="F130" s="165">
        <v>940</v>
      </c>
      <c r="G130" s="165">
        <v>1013</v>
      </c>
      <c r="H130" s="165">
        <v>1127</v>
      </c>
      <c r="I130" s="180">
        <f t="shared" si="72"/>
        <v>0.11253701875616984</v>
      </c>
      <c r="J130" s="166">
        <f t="shared" si="69"/>
        <v>2.6950819672131145</v>
      </c>
      <c r="K130" s="165">
        <f t="shared" si="70"/>
        <v>114</v>
      </c>
      <c r="L130" s="165">
        <f t="shared" si="71"/>
        <v>822</v>
      </c>
      <c r="M130" s="166">
        <f t="shared" si="68"/>
        <v>4.2262098510064154E-4</v>
      </c>
    </row>
    <row r="131" spans="2:13" x14ac:dyDescent="0.25">
      <c r="B131" s="164" t="s">
        <v>130</v>
      </c>
      <c r="C131" s="165">
        <v>630</v>
      </c>
      <c r="D131" s="165">
        <v>34</v>
      </c>
      <c r="E131" s="165">
        <v>572</v>
      </c>
      <c r="F131" s="165">
        <v>775</v>
      </c>
      <c r="G131" s="165">
        <v>858</v>
      </c>
      <c r="H131" s="165">
        <v>669</v>
      </c>
      <c r="I131" s="180">
        <f t="shared" si="72"/>
        <v>-0.22027972027972031</v>
      </c>
      <c r="J131" s="166">
        <f t="shared" si="69"/>
        <v>18.676470588235293</v>
      </c>
      <c r="K131" s="165">
        <f t="shared" si="70"/>
        <v>-189</v>
      </c>
      <c r="L131" s="165">
        <f t="shared" si="71"/>
        <v>635</v>
      </c>
      <c r="M131" s="166">
        <f t="shared" si="68"/>
        <v>2.5087261671014125E-4</v>
      </c>
    </row>
    <row r="132" spans="2:13" x14ac:dyDescent="0.25">
      <c r="B132" s="164" t="s">
        <v>133</v>
      </c>
      <c r="C132" s="165">
        <v>970</v>
      </c>
      <c r="D132" s="165">
        <v>141</v>
      </c>
      <c r="E132" s="165">
        <v>1030</v>
      </c>
      <c r="F132" s="165">
        <v>1454</v>
      </c>
      <c r="G132" s="165">
        <v>1318</v>
      </c>
      <c r="H132" s="165">
        <v>1364</v>
      </c>
      <c r="I132" s="180">
        <f t="shared" si="72"/>
        <v>3.4901365705614529E-2</v>
      </c>
      <c r="J132" s="166">
        <f t="shared" si="69"/>
        <v>8.6737588652482263</v>
      </c>
      <c r="K132" s="165">
        <f t="shared" si="70"/>
        <v>46</v>
      </c>
      <c r="L132" s="165">
        <f t="shared" si="71"/>
        <v>1223</v>
      </c>
      <c r="M132" s="166">
        <f t="shared" si="68"/>
        <v>5.1149514079616243E-4</v>
      </c>
    </row>
    <row r="133" spans="2:13" x14ac:dyDescent="0.25">
      <c r="B133" s="169" t="s">
        <v>147</v>
      </c>
      <c r="C133" s="170">
        <f t="shared" ref="C133" si="73">C125-SUM(C126:C132)</f>
        <v>15677</v>
      </c>
      <c r="D133" s="170">
        <f t="shared" ref="D133:E133" si="74">D125-SUM(D126:D132)</f>
        <v>13722</v>
      </c>
      <c r="E133" s="170">
        <f t="shared" si="74"/>
        <v>25036</v>
      </c>
      <c r="F133" s="170">
        <f t="shared" ref="F133:H133" si="75">F125-SUM(F126:F132)</f>
        <v>27616</v>
      </c>
      <c r="G133" s="170">
        <f t="shared" si="75"/>
        <v>27684</v>
      </c>
      <c r="H133" s="170">
        <f t="shared" si="75"/>
        <v>30776</v>
      </c>
      <c r="I133" s="181">
        <f t="shared" si="72"/>
        <v>0.11168906227423792</v>
      </c>
      <c r="J133" s="171">
        <f t="shared" si="69"/>
        <v>1.2428217461011513</v>
      </c>
      <c r="K133" s="170">
        <f>H133-G133</f>
        <v>3092</v>
      </c>
      <c r="L133" s="170">
        <f t="shared" si="71"/>
        <v>17054</v>
      </c>
      <c r="M133" s="171">
        <f t="shared" si="68"/>
        <v>1.1540890361541566E-2</v>
      </c>
    </row>
    <row r="134" spans="2:13" x14ac:dyDescent="0.25">
      <c r="B134" s="156" t="s">
        <v>54</v>
      </c>
      <c r="C134" s="154"/>
      <c r="D134" s="154"/>
      <c r="E134" s="154"/>
      <c r="F134" s="154"/>
      <c r="G134" s="154"/>
      <c r="H134" s="154"/>
      <c r="I134" s="155"/>
      <c r="J134" s="155"/>
      <c r="K134" s="155"/>
      <c r="L134" s="154"/>
      <c r="M134" s="154"/>
    </row>
    <row r="135" spans="2:13" x14ac:dyDescent="0.25">
      <c r="B135" s="157" t="s">
        <v>70</v>
      </c>
      <c r="C135" s="177">
        <v>52299</v>
      </c>
      <c r="D135" s="177">
        <v>33859</v>
      </c>
      <c r="E135" s="177">
        <v>122526</v>
      </c>
      <c r="F135" s="177">
        <v>133361</v>
      </c>
      <c r="G135" s="177">
        <v>142422</v>
      </c>
      <c r="H135" s="177">
        <v>136065</v>
      </c>
      <c r="I135" s="178">
        <f>IFERROR(H135/G135-1,"-")</f>
        <v>-4.4634958082318765E-2</v>
      </c>
      <c r="J135" s="178">
        <f>IFERROR(H135/D135-1,"-")</f>
        <v>3.0185770400779708</v>
      </c>
      <c r="K135" s="177">
        <f>H135-G135</f>
        <v>-6357</v>
      </c>
      <c r="L135" s="177">
        <f>H135-D135</f>
        <v>102206</v>
      </c>
      <c r="M135" s="178">
        <f t="shared" ref="M135:M147" si="76">H135/H$9</f>
        <v>5.1023890273042403E-2</v>
      </c>
    </row>
    <row r="136" spans="2:13" x14ac:dyDescent="0.25">
      <c r="B136" s="160" t="s">
        <v>99</v>
      </c>
      <c r="C136" s="161">
        <v>2629</v>
      </c>
      <c r="D136" s="161">
        <v>19690</v>
      </c>
      <c r="E136" s="161">
        <v>11499</v>
      </c>
      <c r="F136" s="161">
        <v>14533</v>
      </c>
      <c r="G136" s="161">
        <v>11038</v>
      </c>
      <c r="H136" s="161">
        <v>9469</v>
      </c>
      <c r="I136" s="179">
        <f>IFERROR(H136/G136-1,"-")</f>
        <v>-0.14214531618046744</v>
      </c>
      <c r="J136" s="162">
        <f t="shared" ref="J136:J147" si="77">IFERROR(H136/D136-1,"-")</f>
        <v>-0.51909598781107169</v>
      </c>
      <c r="K136" s="161">
        <f t="shared" ref="K136:K146" si="78">H136-G136</f>
        <v>-1569</v>
      </c>
      <c r="L136" s="161">
        <f t="shared" ref="L136:L147" si="79">H136-D136</f>
        <v>-10221</v>
      </c>
      <c r="M136" s="162">
        <f t="shared" si="76"/>
        <v>3.5508412670079634E-3</v>
      </c>
    </row>
    <row r="137" spans="2:13" x14ac:dyDescent="0.25">
      <c r="B137" s="164" t="s">
        <v>105</v>
      </c>
      <c r="C137" s="165">
        <v>1763</v>
      </c>
      <c r="D137" s="165">
        <v>16632</v>
      </c>
      <c r="E137" s="165">
        <v>7875</v>
      </c>
      <c r="F137" s="165">
        <v>9587</v>
      </c>
      <c r="G137" s="165">
        <v>7128</v>
      </c>
      <c r="H137" s="165">
        <v>4681</v>
      </c>
      <c r="I137" s="180">
        <f>IFERROR(H137/G137-1,"-")</f>
        <v>-0.34329405162738491</v>
      </c>
      <c r="J137" s="166">
        <f t="shared" si="77"/>
        <v>-0.71855459355459361</v>
      </c>
      <c r="K137" s="165">
        <f t="shared" si="78"/>
        <v>-2447</v>
      </c>
      <c r="L137" s="165">
        <f t="shared" si="79"/>
        <v>-11951</v>
      </c>
      <c r="M137" s="166">
        <f t="shared" si="76"/>
        <v>1.7553583240959212E-3</v>
      </c>
    </row>
    <row r="138" spans="2:13" x14ac:dyDescent="0.25">
      <c r="B138" s="164" t="s">
        <v>102</v>
      </c>
      <c r="C138" s="165">
        <v>866</v>
      </c>
      <c r="D138" s="165">
        <v>3058</v>
      </c>
      <c r="E138" s="165">
        <v>3624</v>
      </c>
      <c r="F138" s="165">
        <v>4946</v>
      </c>
      <c r="G138" s="165">
        <v>3910</v>
      </c>
      <c r="H138" s="165">
        <v>4788</v>
      </c>
      <c r="I138" s="180">
        <f>IFERROR(H138/G138-1,"-")</f>
        <v>0.2245524296675192</v>
      </c>
      <c r="J138" s="166">
        <f t="shared" si="77"/>
        <v>0.56572923479398307</v>
      </c>
      <c r="K138" s="165">
        <f t="shared" si="78"/>
        <v>878</v>
      </c>
      <c r="L138" s="165">
        <f t="shared" si="79"/>
        <v>1730</v>
      </c>
      <c r="M138" s="166">
        <f t="shared" si="76"/>
        <v>1.7954829429120424E-3</v>
      </c>
    </row>
    <row r="139" spans="2:13" x14ac:dyDescent="0.25">
      <c r="B139" s="160" t="s">
        <v>109</v>
      </c>
      <c r="C139" s="161">
        <v>49670</v>
      </c>
      <c r="D139" s="161">
        <v>14169</v>
      </c>
      <c r="E139" s="161">
        <v>111027</v>
      </c>
      <c r="F139" s="161">
        <v>118828</v>
      </c>
      <c r="G139" s="161">
        <v>131384</v>
      </c>
      <c r="H139" s="161">
        <v>126596</v>
      </c>
      <c r="I139" s="179">
        <f>IFERROR(H139/G139-1,"-")</f>
        <v>-3.6442793643061577E-2</v>
      </c>
      <c r="J139" s="162">
        <f t="shared" si="77"/>
        <v>7.9347166349071916</v>
      </c>
      <c r="K139" s="161">
        <f t="shared" si="78"/>
        <v>-4788</v>
      </c>
      <c r="L139" s="161">
        <f t="shared" si="79"/>
        <v>112427</v>
      </c>
      <c r="M139" s="162">
        <f t="shared" si="76"/>
        <v>4.747304900603444E-2</v>
      </c>
    </row>
    <row r="140" spans="2:13" x14ac:dyDescent="0.25">
      <c r="B140" s="164" t="s">
        <v>112</v>
      </c>
      <c r="C140" s="165">
        <v>21732</v>
      </c>
      <c r="D140" s="165">
        <v>458</v>
      </c>
      <c r="E140" s="165">
        <v>45437</v>
      </c>
      <c r="F140" s="165">
        <v>47873</v>
      </c>
      <c r="G140" s="165">
        <v>56943</v>
      </c>
      <c r="H140" s="165">
        <v>56898</v>
      </c>
      <c r="I140" s="180">
        <f t="shared" ref="I140:I147" si="80">IFERROR(H140/G140-1,"-")</f>
        <v>-7.9026394815873147E-4</v>
      </c>
      <c r="J140" s="166">
        <f t="shared" si="77"/>
        <v>123.23144104803494</v>
      </c>
      <c r="K140" s="165">
        <f t="shared" si="78"/>
        <v>-45</v>
      </c>
      <c r="L140" s="165">
        <f t="shared" si="79"/>
        <v>56440</v>
      </c>
      <c r="M140" s="166">
        <f t="shared" si="76"/>
        <v>2.1336547302800622E-2</v>
      </c>
    </row>
    <row r="141" spans="2:13" x14ac:dyDescent="0.25">
      <c r="B141" s="164" t="s">
        <v>115</v>
      </c>
      <c r="C141" s="165">
        <v>3339</v>
      </c>
      <c r="D141" s="165">
        <v>1509</v>
      </c>
      <c r="E141" s="165">
        <v>7643</v>
      </c>
      <c r="F141" s="165">
        <v>10249</v>
      </c>
      <c r="G141" s="165">
        <v>11723</v>
      </c>
      <c r="H141" s="165">
        <v>10416</v>
      </c>
      <c r="I141" s="180">
        <f t="shared" si="80"/>
        <v>-0.11149023287554383</v>
      </c>
      <c r="J141" s="166">
        <f t="shared" si="77"/>
        <v>5.9025844930417497</v>
      </c>
      <c r="K141" s="165">
        <f t="shared" si="78"/>
        <v>-1307</v>
      </c>
      <c r="L141" s="165">
        <f t="shared" si="79"/>
        <v>8907</v>
      </c>
      <c r="M141" s="166">
        <f t="shared" si="76"/>
        <v>3.9059628933525133E-3</v>
      </c>
    </row>
    <row r="142" spans="2:13" x14ac:dyDescent="0.25">
      <c r="B142" s="164" t="s">
        <v>118</v>
      </c>
      <c r="C142" s="165">
        <v>3563</v>
      </c>
      <c r="D142" s="165">
        <v>4457</v>
      </c>
      <c r="E142" s="165">
        <v>13855</v>
      </c>
      <c r="F142" s="165">
        <v>12921</v>
      </c>
      <c r="G142" s="165">
        <v>13344</v>
      </c>
      <c r="H142" s="165">
        <v>11494</v>
      </c>
      <c r="I142" s="180">
        <f t="shared" si="80"/>
        <v>-0.13863908872901676</v>
      </c>
      <c r="J142" s="166">
        <f t="shared" si="77"/>
        <v>1.578864707202154</v>
      </c>
      <c r="K142" s="165">
        <f t="shared" si="78"/>
        <v>-1850</v>
      </c>
      <c r="L142" s="165">
        <f t="shared" si="79"/>
        <v>7037</v>
      </c>
      <c r="M142" s="166">
        <f t="shared" si="76"/>
        <v>4.3102090530139966E-3</v>
      </c>
    </row>
    <row r="143" spans="2:13" x14ac:dyDescent="0.25">
      <c r="B143" s="164" t="s">
        <v>125</v>
      </c>
      <c r="C143" s="165">
        <v>765</v>
      </c>
      <c r="D143" s="165">
        <v>204</v>
      </c>
      <c r="E143" s="165">
        <v>4824</v>
      </c>
      <c r="F143" s="165">
        <v>4085</v>
      </c>
      <c r="G143" s="165">
        <v>3245</v>
      </c>
      <c r="H143" s="165">
        <v>3004</v>
      </c>
      <c r="I143" s="180">
        <f t="shared" si="80"/>
        <v>-7.4268104776579302E-2</v>
      </c>
      <c r="J143" s="166">
        <f t="shared" si="77"/>
        <v>13.725490196078431</v>
      </c>
      <c r="K143" s="165">
        <f t="shared" si="78"/>
        <v>-241</v>
      </c>
      <c r="L143" s="165">
        <f t="shared" si="79"/>
        <v>2800</v>
      </c>
      <c r="M143" s="166">
        <f t="shared" si="76"/>
        <v>1.1264892983516657E-3</v>
      </c>
    </row>
    <row r="144" spans="2:13" x14ac:dyDescent="0.25">
      <c r="B144" s="164" t="s">
        <v>121</v>
      </c>
      <c r="C144" s="165">
        <v>861</v>
      </c>
      <c r="D144" s="165">
        <v>452</v>
      </c>
      <c r="E144" s="165">
        <v>2179</v>
      </c>
      <c r="F144" s="165">
        <v>2364</v>
      </c>
      <c r="G144" s="165">
        <v>2961</v>
      </c>
      <c r="H144" s="165">
        <v>2142</v>
      </c>
      <c r="I144" s="180">
        <f t="shared" si="80"/>
        <v>-0.27659574468085102</v>
      </c>
      <c r="J144" s="166">
        <f t="shared" si="77"/>
        <v>3.7389380530973453</v>
      </c>
      <c r="K144" s="165">
        <f t="shared" si="78"/>
        <v>-819</v>
      </c>
      <c r="L144" s="165">
        <f t="shared" si="79"/>
        <v>1690</v>
      </c>
      <c r="M144" s="166">
        <f t="shared" si="76"/>
        <v>8.0324236919749258E-4</v>
      </c>
    </row>
    <row r="145" spans="2:13" x14ac:dyDescent="0.25">
      <c r="B145" s="164" t="s">
        <v>130</v>
      </c>
      <c r="C145" s="165">
        <v>1961</v>
      </c>
      <c r="D145" s="165">
        <v>36</v>
      </c>
      <c r="E145" s="165">
        <v>1790</v>
      </c>
      <c r="F145" s="165">
        <v>2240</v>
      </c>
      <c r="G145" s="165">
        <v>1984</v>
      </c>
      <c r="H145" s="165">
        <v>2248</v>
      </c>
      <c r="I145" s="180">
        <f t="shared" si="80"/>
        <v>0.13306451612903225</v>
      </c>
      <c r="J145" s="166">
        <f t="shared" si="77"/>
        <v>61.444444444444443</v>
      </c>
      <c r="K145" s="165">
        <f t="shared" si="78"/>
        <v>264</v>
      </c>
      <c r="L145" s="165">
        <f t="shared" si="79"/>
        <v>2212</v>
      </c>
      <c r="M145" s="166">
        <f t="shared" si="76"/>
        <v>8.4299199157608E-4</v>
      </c>
    </row>
    <row r="146" spans="2:13" x14ac:dyDescent="0.25">
      <c r="B146" s="164" t="s">
        <v>133</v>
      </c>
      <c r="C146" s="165">
        <v>3933</v>
      </c>
      <c r="D146" s="165">
        <v>41</v>
      </c>
      <c r="E146" s="165">
        <v>888</v>
      </c>
      <c r="F146" s="165">
        <v>1585</v>
      </c>
      <c r="G146" s="165">
        <v>1459</v>
      </c>
      <c r="H146" s="165">
        <v>1093</v>
      </c>
      <c r="I146" s="180">
        <f t="shared" si="80"/>
        <v>-0.25085675119945172</v>
      </c>
      <c r="J146" s="166">
        <f t="shared" si="77"/>
        <v>25.658536585365855</v>
      </c>
      <c r="K146" s="165">
        <f t="shared" si="78"/>
        <v>-366</v>
      </c>
      <c r="L146" s="165">
        <f t="shared" si="79"/>
        <v>1052</v>
      </c>
      <c r="M146" s="166">
        <f t="shared" si="76"/>
        <v>4.0987110622449087E-4</v>
      </c>
    </row>
    <row r="147" spans="2:13" x14ac:dyDescent="0.25">
      <c r="B147" s="169" t="s">
        <v>147</v>
      </c>
      <c r="C147" s="170">
        <f t="shared" ref="C147" si="81">C139-SUM(C140:C146)</f>
        <v>13516</v>
      </c>
      <c r="D147" s="170">
        <f t="shared" ref="D147:E147" si="82">D139-SUM(D140:D146)</f>
        <v>7012</v>
      </c>
      <c r="E147" s="170">
        <f t="shared" si="82"/>
        <v>34411</v>
      </c>
      <c r="F147" s="170">
        <f t="shared" ref="F147:H147" si="83">F139-SUM(F140:F146)</f>
        <v>37511</v>
      </c>
      <c r="G147" s="170">
        <f t="shared" si="83"/>
        <v>39725</v>
      </c>
      <c r="H147" s="170">
        <f t="shared" si="83"/>
        <v>39301</v>
      </c>
      <c r="I147" s="181">
        <f t="shared" si="80"/>
        <v>-1.0673379483952194E-2</v>
      </c>
      <c r="J147" s="171">
        <f t="shared" si="77"/>
        <v>4.6048203080433545</v>
      </c>
      <c r="K147" s="170">
        <f>H147-G147</f>
        <v>-424</v>
      </c>
      <c r="L147" s="170">
        <f t="shared" si="79"/>
        <v>32289</v>
      </c>
      <c r="M147" s="171">
        <f t="shared" si="76"/>
        <v>1.473773499151758E-2</v>
      </c>
    </row>
    <row r="148" spans="2:13" x14ac:dyDescent="0.25">
      <c r="B148" s="156" t="s">
        <v>55</v>
      </c>
      <c r="C148" s="154"/>
      <c r="D148" s="154"/>
      <c r="E148" s="154"/>
      <c r="F148" s="154"/>
      <c r="G148" s="154"/>
      <c r="H148" s="154"/>
      <c r="I148" s="155"/>
      <c r="J148" s="155"/>
      <c r="K148" s="155"/>
      <c r="L148" s="154"/>
      <c r="M148" s="154"/>
    </row>
    <row r="149" spans="2:13" x14ac:dyDescent="0.25">
      <c r="B149" s="157" t="s">
        <v>70</v>
      </c>
      <c r="C149" s="177">
        <v>23569</v>
      </c>
      <c r="D149" s="177">
        <v>22293</v>
      </c>
      <c r="E149" s="177">
        <v>52853</v>
      </c>
      <c r="F149" s="177">
        <v>59038</v>
      </c>
      <c r="G149" s="177">
        <v>61781</v>
      </c>
      <c r="H149" s="177">
        <v>59492</v>
      </c>
      <c r="I149" s="178">
        <f>IFERROR(H149/G149-1,"-")</f>
        <v>-3.7050225797575331E-2</v>
      </c>
      <c r="J149" s="178">
        <f>IFERROR(H149/D149-1,"-")</f>
        <v>1.6686403803884629</v>
      </c>
      <c r="K149" s="177">
        <f>H149-G149</f>
        <v>-2289</v>
      </c>
      <c r="L149" s="177">
        <f>H149-D149</f>
        <v>37199</v>
      </c>
      <c r="M149" s="178">
        <f t="shared" ref="M149:M161" si="84">H149/H$9</f>
        <v>2.2309288061763414E-2</v>
      </c>
    </row>
    <row r="150" spans="2:13" x14ac:dyDescent="0.25">
      <c r="B150" s="160" t="s">
        <v>99</v>
      </c>
      <c r="C150" s="161">
        <v>8081</v>
      </c>
      <c r="D150" s="161">
        <v>15529</v>
      </c>
      <c r="E150" s="161">
        <v>27902</v>
      </c>
      <c r="F150" s="161">
        <v>29120</v>
      </c>
      <c r="G150" s="161">
        <v>26478</v>
      </c>
      <c r="H150" s="161">
        <v>24222</v>
      </c>
      <c r="I150" s="179">
        <f>IFERROR(H150/G150-1,"-")</f>
        <v>-8.5202809879900254E-2</v>
      </c>
      <c r="J150" s="162">
        <f t="shared" ref="J150:J161" si="85">IFERROR(H150/D150-1,"-")</f>
        <v>0.55979135810419223</v>
      </c>
      <c r="K150" s="161">
        <f t="shared" ref="K150:K160" si="86">H150-G150</f>
        <v>-2256</v>
      </c>
      <c r="L150" s="161">
        <f t="shared" ref="L150:L161" si="87">H150-D150</f>
        <v>8693</v>
      </c>
      <c r="M150" s="162">
        <f t="shared" si="84"/>
        <v>9.0831637099447558E-3</v>
      </c>
    </row>
    <row r="151" spans="2:13" x14ac:dyDescent="0.25">
      <c r="B151" s="164" t="s">
        <v>105</v>
      </c>
      <c r="C151" s="165">
        <v>4041</v>
      </c>
      <c r="D151" s="165">
        <v>13585</v>
      </c>
      <c r="E151" s="165">
        <v>19346</v>
      </c>
      <c r="F151" s="165">
        <v>19932</v>
      </c>
      <c r="G151" s="165">
        <v>17598</v>
      </c>
      <c r="H151" s="165">
        <v>15211</v>
      </c>
      <c r="I151" s="180">
        <f>IFERROR(H151/G151-1,"-")</f>
        <v>-0.1356404136833731</v>
      </c>
      <c r="J151" s="166">
        <f t="shared" si="85"/>
        <v>0.11969083548030923</v>
      </c>
      <c r="K151" s="165">
        <f t="shared" si="86"/>
        <v>-2387</v>
      </c>
      <c r="L151" s="165">
        <f t="shared" si="87"/>
        <v>1626</v>
      </c>
      <c r="M151" s="166">
        <f t="shared" si="84"/>
        <v>5.7040708113272921E-3</v>
      </c>
    </row>
    <row r="152" spans="2:13" x14ac:dyDescent="0.25">
      <c r="B152" s="164" t="s">
        <v>102</v>
      </c>
      <c r="C152" s="165">
        <v>4040</v>
      </c>
      <c r="D152" s="165">
        <v>1944</v>
      </c>
      <c r="E152" s="165">
        <v>8556</v>
      </c>
      <c r="F152" s="165">
        <v>9188</v>
      </c>
      <c r="G152" s="165">
        <v>8880</v>
      </c>
      <c r="H152" s="165">
        <v>9011</v>
      </c>
      <c r="I152" s="180">
        <f>IFERROR(H152/G152-1,"-")</f>
        <v>1.4752252252252296E-2</v>
      </c>
      <c r="J152" s="166">
        <f t="shared" si="85"/>
        <v>3.6352880658436213</v>
      </c>
      <c r="K152" s="165">
        <f t="shared" si="86"/>
        <v>131</v>
      </c>
      <c r="L152" s="165">
        <f t="shared" si="87"/>
        <v>7067</v>
      </c>
      <c r="M152" s="166">
        <f t="shared" si="84"/>
        <v>3.3790928986174632E-3</v>
      </c>
    </row>
    <row r="153" spans="2:13" x14ac:dyDescent="0.25">
      <c r="B153" s="160" t="s">
        <v>109</v>
      </c>
      <c r="C153" s="161">
        <v>15488</v>
      </c>
      <c r="D153" s="161">
        <v>6764</v>
      </c>
      <c r="E153" s="161">
        <v>24951</v>
      </c>
      <c r="F153" s="161">
        <v>29918</v>
      </c>
      <c r="G153" s="161">
        <v>35303</v>
      </c>
      <c r="H153" s="161">
        <v>35270</v>
      </c>
      <c r="I153" s="179">
        <f>IFERROR(H153/G153-1,"-")</f>
        <v>-9.3476475087106436E-4</v>
      </c>
      <c r="J153" s="162">
        <f t="shared" si="85"/>
        <v>4.2143701951507984</v>
      </c>
      <c r="K153" s="161">
        <f t="shared" si="86"/>
        <v>-33</v>
      </c>
      <c r="L153" s="161">
        <f t="shared" si="87"/>
        <v>28506</v>
      </c>
      <c r="M153" s="162">
        <f t="shared" si="84"/>
        <v>1.3226124351818658E-2</v>
      </c>
    </row>
    <row r="154" spans="2:13" x14ac:dyDescent="0.25">
      <c r="B154" s="164" t="s">
        <v>112</v>
      </c>
      <c r="C154" s="165">
        <v>4925</v>
      </c>
      <c r="D154" s="165">
        <v>254</v>
      </c>
      <c r="E154" s="165">
        <v>8714</v>
      </c>
      <c r="F154" s="165">
        <v>9501</v>
      </c>
      <c r="G154" s="165">
        <v>10542</v>
      </c>
      <c r="H154" s="165">
        <v>8884</v>
      </c>
      <c r="I154" s="180">
        <f t="shared" ref="I154:I161" si="88">IFERROR(H154/G154-1,"-")</f>
        <v>-0.15727565926769116</v>
      </c>
      <c r="J154" s="166">
        <f t="shared" si="85"/>
        <v>33.976377952755904</v>
      </c>
      <c r="K154" s="165">
        <f t="shared" si="86"/>
        <v>-1658</v>
      </c>
      <c r="L154" s="165">
        <f t="shared" si="87"/>
        <v>8630</v>
      </c>
      <c r="M154" s="166">
        <f t="shared" si="84"/>
        <v>3.3314683510506649E-3</v>
      </c>
    </row>
    <row r="155" spans="2:13" x14ac:dyDescent="0.25">
      <c r="B155" s="164" t="s">
        <v>115</v>
      </c>
      <c r="C155" s="165">
        <v>4219</v>
      </c>
      <c r="D155" s="165">
        <v>1276</v>
      </c>
      <c r="E155" s="165">
        <v>5858</v>
      </c>
      <c r="F155" s="165">
        <v>6181</v>
      </c>
      <c r="G155" s="165">
        <v>6933</v>
      </c>
      <c r="H155" s="165">
        <v>6662</v>
      </c>
      <c r="I155" s="180">
        <f t="shared" si="88"/>
        <v>-3.9088417712390022E-2</v>
      </c>
      <c r="J155" s="166">
        <f t="shared" si="85"/>
        <v>4.2210031347962387</v>
      </c>
      <c r="K155" s="165">
        <f t="shared" si="86"/>
        <v>-271</v>
      </c>
      <c r="L155" s="165">
        <f t="shared" si="87"/>
        <v>5386</v>
      </c>
      <c r="M155" s="166">
        <f t="shared" si="84"/>
        <v>2.498226266850465E-3</v>
      </c>
    </row>
    <row r="156" spans="2:13" x14ac:dyDescent="0.25">
      <c r="B156" s="164" t="s">
        <v>118</v>
      </c>
      <c r="C156" s="165">
        <v>1723</v>
      </c>
      <c r="D156" s="165">
        <v>1993</v>
      </c>
      <c r="E156" s="165">
        <v>2816</v>
      </c>
      <c r="F156" s="165">
        <v>4482</v>
      </c>
      <c r="G156" s="165">
        <v>5547</v>
      </c>
      <c r="H156" s="165">
        <v>7871</v>
      </c>
      <c r="I156" s="180">
        <f t="shared" si="88"/>
        <v>0.41896520641788348</v>
      </c>
      <c r="J156" s="166">
        <f t="shared" si="85"/>
        <v>2.9493226292022077</v>
      </c>
      <c r="K156" s="165">
        <f t="shared" si="86"/>
        <v>2324</v>
      </c>
      <c r="L156" s="165">
        <f t="shared" si="87"/>
        <v>5878</v>
      </c>
      <c r="M156" s="166">
        <f t="shared" si="84"/>
        <v>2.9515969598288816E-3</v>
      </c>
    </row>
    <row r="157" spans="2:13" x14ac:dyDescent="0.25">
      <c r="B157" s="164" t="s">
        <v>125</v>
      </c>
      <c r="C157" s="165">
        <v>517</v>
      </c>
      <c r="D157" s="165">
        <v>237</v>
      </c>
      <c r="E157" s="165">
        <v>774</v>
      </c>
      <c r="F157" s="165">
        <v>963</v>
      </c>
      <c r="G157" s="165">
        <v>1457</v>
      </c>
      <c r="H157" s="165">
        <v>1391</v>
      </c>
      <c r="I157" s="180">
        <f t="shared" si="88"/>
        <v>-4.5298558682223766E-2</v>
      </c>
      <c r="J157" s="166">
        <f t="shared" si="85"/>
        <v>4.8691983122362865</v>
      </c>
      <c r="K157" s="165">
        <f t="shared" si="86"/>
        <v>-66</v>
      </c>
      <c r="L157" s="165">
        <f t="shared" si="87"/>
        <v>1154</v>
      </c>
      <c r="M157" s="166">
        <f t="shared" si="84"/>
        <v>5.2162004460957622E-4</v>
      </c>
    </row>
    <row r="158" spans="2:13" x14ac:dyDescent="0.25">
      <c r="B158" s="164" t="s">
        <v>121</v>
      </c>
      <c r="C158" s="165">
        <v>514</v>
      </c>
      <c r="D158" s="165">
        <v>284</v>
      </c>
      <c r="E158" s="165">
        <v>1111</v>
      </c>
      <c r="F158" s="165">
        <v>1411</v>
      </c>
      <c r="G158" s="165">
        <v>1376</v>
      </c>
      <c r="H158" s="165">
        <v>1214</v>
      </c>
      <c r="I158" s="180">
        <f t="shared" si="88"/>
        <v>-0.11773255813953487</v>
      </c>
      <c r="J158" s="166">
        <f t="shared" si="85"/>
        <v>3.274647887323944</v>
      </c>
      <c r="K158" s="165">
        <f t="shared" si="86"/>
        <v>-162</v>
      </c>
      <c r="L158" s="165">
        <f t="shared" si="87"/>
        <v>930</v>
      </c>
      <c r="M158" s="166">
        <f t="shared" si="84"/>
        <v>4.5524567516608592E-4</v>
      </c>
    </row>
    <row r="159" spans="2:13" x14ac:dyDescent="0.25">
      <c r="B159" s="164" t="s">
        <v>130</v>
      </c>
      <c r="C159" s="165">
        <v>331</v>
      </c>
      <c r="D159" s="165">
        <v>24</v>
      </c>
      <c r="E159" s="165">
        <v>251</v>
      </c>
      <c r="F159" s="165">
        <v>393</v>
      </c>
      <c r="G159" s="165">
        <v>278</v>
      </c>
      <c r="H159" s="165">
        <v>271</v>
      </c>
      <c r="I159" s="180">
        <f t="shared" si="88"/>
        <v>-2.5179856115107868E-2</v>
      </c>
      <c r="J159" s="166">
        <f t="shared" si="85"/>
        <v>10.291666666666666</v>
      </c>
      <c r="K159" s="165">
        <f t="shared" si="86"/>
        <v>-7</v>
      </c>
      <c r="L159" s="165">
        <f t="shared" si="87"/>
        <v>247</v>
      </c>
      <c r="M159" s="166">
        <f t="shared" si="84"/>
        <v>1.0162403457167156E-4</v>
      </c>
    </row>
    <row r="160" spans="2:13" x14ac:dyDescent="0.25">
      <c r="B160" s="164" t="s">
        <v>133</v>
      </c>
      <c r="C160" s="165">
        <v>420</v>
      </c>
      <c r="D160" s="165">
        <v>62</v>
      </c>
      <c r="E160" s="165">
        <v>382</v>
      </c>
      <c r="F160" s="165">
        <v>521</v>
      </c>
      <c r="G160" s="165">
        <v>475</v>
      </c>
      <c r="H160" s="165">
        <v>365</v>
      </c>
      <c r="I160" s="180">
        <f t="shared" si="88"/>
        <v>-0.23157894736842111</v>
      </c>
      <c r="J160" s="166">
        <f t="shared" si="85"/>
        <v>4.887096774193548</v>
      </c>
      <c r="K160" s="165">
        <f t="shared" si="86"/>
        <v>-110</v>
      </c>
      <c r="L160" s="165">
        <f t="shared" si="87"/>
        <v>303</v>
      </c>
      <c r="M160" s="166">
        <f t="shared" si="84"/>
        <v>1.3687369969985286E-4</v>
      </c>
    </row>
    <row r="161" spans="2:13" x14ac:dyDescent="0.25">
      <c r="B161" s="169" t="s">
        <v>147</v>
      </c>
      <c r="C161" s="170">
        <f t="shared" ref="C161" si="89">C153-SUM(C154:C160)</f>
        <v>2839</v>
      </c>
      <c r="D161" s="170">
        <f t="shared" ref="D161:E161" si="90">D153-SUM(D154:D160)</f>
        <v>2634</v>
      </c>
      <c r="E161" s="170">
        <f t="shared" si="90"/>
        <v>5045</v>
      </c>
      <c r="F161" s="170">
        <f t="shared" ref="F161:H161" si="91">F153-SUM(F154:F160)</f>
        <v>6466</v>
      </c>
      <c r="G161" s="170">
        <f t="shared" si="91"/>
        <v>8695</v>
      </c>
      <c r="H161" s="170">
        <f t="shared" si="91"/>
        <v>8612</v>
      </c>
      <c r="I161" s="181">
        <f t="shared" si="88"/>
        <v>-9.5457159286946869E-3</v>
      </c>
      <c r="J161" s="171">
        <f t="shared" si="85"/>
        <v>2.2695520121488233</v>
      </c>
      <c r="K161" s="170">
        <f>H161-G161</f>
        <v>-83</v>
      </c>
      <c r="L161" s="170">
        <f t="shared" si="87"/>
        <v>5978</v>
      </c>
      <c r="M161" s="171">
        <f t="shared" si="84"/>
        <v>3.2294693200414595E-3</v>
      </c>
    </row>
    <row r="162" spans="2:13" x14ac:dyDescent="0.25">
      <c r="C162" s="81"/>
      <c r="D162" s="81"/>
      <c r="E162" s="81"/>
      <c r="F162" s="81"/>
      <c r="G162" s="81"/>
      <c r="H162" s="81"/>
      <c r="I162" s="81"/>
    </row>
    <row r="163" spans="2:13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</row>
  </sheetData>
  <mergeCells count="3">
    <mergeCell ref="B4:J4"/>
    <mergeCell ref="C6:M6"/>
    <mergeCell ref="Q6:Y6"/>
  </mergeCells>
  <pageMargins left="0.25" right="0.25" top="0.75" bottom="0.75" header="0.3" footer="0.3"/>
  <pageSetup paperSize="9" scale="88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BB96B6-D105-4436-A63C-2A4DC0F01DAC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  <col min="24" max="24" width="0" hidden="1" customWidth="1"/>
  </cols>
  <sheetData>
    <row r="1" spans="1:23" ht="42.75" customHeight="1" x14ac:dyDescent="0.25"/>
    <row r="4" spans="1:23" ht="42" customHeight="1" thickBot="1" x14ac:dyDescent="0.3">
      <c r="B4" s="278" t="str">
        <f>CONCATENATE("Viajeros entrados en los hoteles de Tenerife según lugar de residencia y municipio de alojamiento")</f>
        <v>Viajeros entrados en los hoteles de Tenerife según lugar de residencia y municipio de alojamiento</v>
      </c>
      <c r="C4" s="278"/>
      <c r="D4" s="278"/>
      <c r="E4" s="278"/>
      <c r="F4" s="278"/>
      <c r="G4" s="278"/>
      <c r="H4" s="278"/>
      <c r="I4" s="278"/>
      <c r="J4" s="145"/>
      <c r="K4" s="145"/>
      <c r="N4" s="144" t="s">
        <v>265</v>
      </c>
      <c r="O4" s="145"/>
      <c r="P4" s="145"/>
      <c r="Q4" s="145"/>
      <c r="R4" s="145"/>
      <c r="S4" s="145"/>
      <c r="T4" s="145"/>
      <c r="U4" s="145"/>
      <c r="V4" s="145"/>
      <c r="W4" s="145"/>
    </row>
    <row r="5" spans="1:23" ht="6" customHeight="1" x14ac:dyDescent="0.25"/>
    <row r="6" spans="1:23" ht="15.75" x14ac:dyDescent="0.25">
      <c r="B6" s="146"/>
      <c r="C6" s="311" t="s">
        <v>45</v>
      </c>
      <c r="D6" s="312"/>
      <c r="E6" s="312"/>
      <c r="F6" s="312"/>
      <c r="G6" s="312"/>
      <c r="H6" s="312"/>
      <c r="I6" s="312"/>
      <c r="J6" s="312"/>
      <c r="K6" s="312"/>
      <c r="N6" s="146"/>
      <c r="O6" s="311" t="s">
        <v>45</v>
      </c>
      <c r="P6" s="312"/>
      <c r="Q6" s="312"/>
      <c r="R6" s="312"/>
      <c r="S6" s="312"/>
      <c r="T6" s="312"/>
      <c r="U6" s="312"/>
      <c r="V6" s="312"/>
      <c r="W6" s="312"/>
    </row>
    <row r="7" spans="1:23" s="147" customFormat="1" ht="72" customHeight="1" x14ac:dyDescent="0.25">
      <c r="B7" s="148"/>
      <c r="C7" s="173" t="s">
        <v>259</v>
      </c>
      <c r="D7" s="173" t="s">
        <v>260</v>
      </c>
      <c r="E7" s="173" t="s">
        <v>261</v>
      </c>
      <c r="F7" s="173" t="s">
        <v>262</v>
      </c>
      <c r="G7" s="173" t="s">
        <v>263</v>
      </c>
      <c r="H7" s="173" t="s">
        <v>264</v>
      </c>
      <c r="I7" s="174" t="str">
        <f>CONCATENATE("var. ",RIGHT(H7,2),"/",RIGHT(G7,2))</f>
        <v>var. 25/24</v>
      </c>
      <c r="J7" s="173" t="str">
        <f>CONCATENATE("dif. ",RIGHT(H7,2),"/",RIGHT(G7,2))</f>
        <v>dif. 25/24</v>
      </c>
      <c r="K7" s="174" t="str">
        <f>CONCATENATE("Cuota s/ total lugares de residencia ",RIGHT(H7,4))</f>
        <v>Cuota s/ total lugares de residencia 2025</v>
      </c>
      <c r="N7" s="148"/>
      <c r="O7" s="173" t="s">
        <v>259</v>
      </c>
      <c r="P7" s="173" t="s">
        <v>260</v>
      </c>
      <c r="Q7" s="173" t="s">
        <v>261</v>
      </c>
      <c r="R7" s="173" t="s">
        <v>262</v>
      </c>
      <c r="S7" s="173" t="s">
        <v>263</v>
      </c>
      <c r="T7" s="173" t="s">
        <v>264</v>
      </c>
      <c r="U7" s="174" t="str">
        <f>CONCATENATE("var. ",RIGHT(T7,2),"/",RIGHT(S7,2))</f>
        <v>var. 25/24</v>
      </c>
      <c r="V7" s="173" t="str">
        <f>CONCATENATE("dif. ",RIGHT(T7,2),"/",RIGHT(S7,2))</f>
        <v>dif. 25/24</v>
      </c>
      <c r="W7" s="174" t="str">
        <f>CONCATENATE("Cuota s/ total lugares de residencia ",RIGHT(T7,4))</f>
        <v>Cuota s/ total lugares de residencia 2025</v>
      </c>
    </row>
    <row r="8" spans="1:23" x14ac:dyDescent="0.25">
      <c r="A8" s="1"/>
      <c r="B8" s="153" t="s">
        <v>45</v>
      </c>
      <c r="C8" s="154"/>
      <c r="D8" s="154"/>
      <c r="E8" s="154"/>
      <c r="F8" s="154"/>
      <c r="G8" s="154"/>
      <c r="H8" s="155"/>
      <c r="I8" s="155"/>
      <c r="J8" s="155"/>
      <c r="K8" s="154"/>
      <c r="N8" s="156" t="s">
        <v>53</v>
      </c>
      <c r="O8" s="154"/>
      <c r="P8" s="154"/>
      <c r="Q8" s="154"/>
      <c r="R8" s="154"/>
      <c r="S8" s="154"/>
      <c r="T8" s="155"/>
      <c r="U8" s="155"/>
      <c r="V8" s="155"/>
      <c r="W8" s="154"/>
    </row>
    <row r="9" spans="1:23" x14ac:dyDescent="0.25">
      <c r="A9" s="1" t="s">
        <v>98</v>
      </c>
      <c r="B9" s="157" t="s">
        <v>70</v>
      </c>
      <c r="C9" s="177">
        <f t="shared" ref="C9:H9" si="0">C10+C13</f>
        <v>724591</v>
      </c>
      <c r="D9" s="177">
        <f t="shared" si="0"/>
        <v>400632</v>
      </c>
      <c r="E9" s="177">
        <f t="shared" si="0"/>
        <v>1755213</v>
      </c>
      <c r="F9" s="177">
        <f t="shared" si="0"/>
        <v>1992209</v>
      </c>
      <c r="G9" s="177">
        <f t="shared" si="0"/>
        <v>2100816</v>
      </c>
      <c r="H9" s="177">
        <f t="shared" si="0"/>
        <v>2057357</v>
      </c>
      <c r="I9" s="178">
        <f>IFERROR(H9/G9-1,"-")</f>
        <v>-2.0686723635006565E-2</v>
      </c>
      <c r="J9" s="177">
        <f t="shared" ref="J9:J21" si="1">H9-G9</f>
        <v>-43459</v>
      </c>
      <c r="K9" s="178">
        <f t="shared" ref="K9:K21" si="2">H9/H$9</f>
        <v>1</v>
      </c>
      <c r="N9" s="157" t="s">
        <v>70</v>
      </c>
      <c r="O9" s="177">
        <f t="shared" ref="O9:T9" si="3">O10+O13</f>
        <v>52853</v>
      </c>
      <c r="P9" s="177">
        <f t="shared" si="3"/>
        <v>58803</v>
      </c>
      <c r="Q9" s="177">
        <f t="shared" si="3"/>
        <v>104421</v>
      </c>
      <c r="R9" s="177">
        <f t="shared" si="3"/>
        <v>126576</v>
      </c>
      <c r="S9" s="177">
        <f t="shared" si="3"/>
        <v>125410</v>
      </c>
      <c r="T9" s="177">
        <f t="shared" si="3"/>
        <v>140761</v>
      </c>
      <c r="U9" s="178">
        <f>IFERROR(T9/S9-1,"-")</f>
        <v>0.12240650665816122</v>
      </c>
      <c r="V9" s="177">
        <f>T9-S9</f>
        <v>15351</v>
      </c>
      <c r="W9" s="178">
        <f t="shared" ref="W9:W21" si="4">T9/T$9</f>
        <v>1</v>
      </c>
    </row>
    <row r="10" spans="1:23" x14ac:dyDescent="0.25">
      <c r="A10" s="163" t="s">
        <v>105</v>
      </c>
      <c r="B10" s="160" t="s">
        <v>99</v>
      </c>
      <c r="C10" s="161">
        <v>122859</v>
      </c>
      <c r="D10" s="161">
        <v>218700</v>
      </c>
      <c r="E10" s="161">
        <v>383220</v>
      </c>
      <c r="F10" s="161">
        <v>416807</v>
      </c>
      <c r="G10" s="161">
        <v>407282</v>
      </c>
      <c r="H10" s="161">
        <v>401585</v>
      </c>
      <c r="I10" s="179">
        <f>IFERROR(H10/G10-1,"-")</f>
        <v>-1.3987851169459997E-2</v>
      </c>
      <c r="J10" s="160">
        <f t="shared" si="1"/>
        <v>-5697</v>
      </c>
      <c r="K10" s="162">
        <f t="shared" si="2"/>
        <v>0.19519461133872246</v>
      </c>
      <c r="N10" s="160" t="s">
        <v>99</v>
      </c>
      <c r="O10" s="161">
        <v>26940</v>
      </c>
      <c r="P10" s="161">
        <v>38654</v>
      </c>
      <c r="Q10" s="161">
        <v>62976</v>
      </c>
      <c r="R10" s="161">
        <v>76465</v>
      </c>
      <c r="S10" s="161">
        <v>75937</v>
      </c>
      <c r="T10" s="161">
        <v>87725</v>
      </c>
      <c r="U10" s="179">
        <f>IFERROR(T10/S10-1,"-")</f>
        <v>0.1552339439272028</v>
      </c>
      <c r="V10" s="160">
        <f t="shared" ref="V10:V20" si="5">T10-S10</f>
        <v>11788</v>
      </c>
      <c r="W10" s="162">
        <f t="shared" si="4"/>
        <v>0.62321949971938251</v>
      </c>
    </row>
    <row r="11" spans="1:23" x14ac:dyDescent="0.25">
      <c r="A11" s="163" t="s">
        <v>102</v>
      </c>
      <c r="B11" s="164" t="s">
        <v>105</v>
      </c>
      <c r="C11" s="165">
        <v>41140</v>
      </c>
      <c r="D11" s="165">
        <v>135698</v>
      </c>
      <c r="E11" s="165">
        <v>151793</v>
      </c>
      <c r="F11" s="165">
        <v>158979</v>
      </c>
      <c r="G11" s="165">
        <v>152835</v>
      </c>
      <c r="H11" s="165">
        <v>146034</v>
      </c>
      <c r="I11" s="180">
        <f>IFERROR(H11/G11-1,"-")</f>
        <v>-4.4498969476886807E-2</v>
      </c>
      <c r="J11" s="164">
        <f t="shared" si="1"/>
        <v>-6801</v>
      </c>
      <c r="K11" s="166">
        <f t="shared" si="2"/>
        <v>7.0981361037486451E-2</v>
      </c>
      <c r="N11" s="164" t="s">
        <v>105</v>
      </c>
      <c r="O11" s="165">
        <v>13715</v>
      </c>
      <c r="P11" s="165">
        <v>20861</v>
      </c>
      <c r="Q11" s="165">
        <v>31514</v>
      </c>
      <c r="R11" s="165">
        <v>35561</v>
      </c>
      <c r="S11" s="165">
        <v>34109</v>
      </c>
      <c r="T11" s="165">
        <v>44044</v>
      </c>
      <c r="U11" s="180">
        <f>IFERROR(T11/S11-1,"-")</f>
        <v>0.29127209827318312</v>
      </c>
      <c r="V11" s="164">
        <f t="shared" si="5"/>
        <v>9935</v>
      </c>
      <c r="W11" s="166">
        <f>T11/T$9</f>
        <v>0.31289916951428309</v>
      </c>
    </row>
    <row r="12" spans="1:23" x14ac:dyDescent="0.25">
      <c r="A12" s="1"/>
      <c r="B12" s="164" t="s">
        <v>102</v>
      </c>
      <c r="C12" s="165">
        <v>81719</v>
      </c>
      <c r="D12" s="165">
        <v>83002</v>
      </c>
      <c r="E12" s="165">
        <v>231427</v>
      </c>
      <c r="F12" s="165">
        <v>257828</v>
      </c>
      <c r="G12" s="165">
        <v>254447</v>
      </c>
      <c r="H12" s="165">
        <v>255551</v>
      </c>
      <c r="I12" s="180">
        <f>IFERROR(H12/G12-1,"-")</f>
        <v>4.3388210511423608E-3</v>
      </c>
      <c r="J12" s="164">
        <f t="shared" si="1"/>
        <v>1104</v>
      </c>
      <c r="K12" s="166">
        <f t="shared" si="2"/>
        <v>0.12421325030123601</v>
      </c>
      <c r="N12" s="164" t="s">
        <v>102</v>
      </c>
      <c r="O12" s="165">
        <v>13225</v>
      </c>
      <c r="P12" s="165">
        <v>17793</v>
      </c>
      <c r="Q12" s="165">
        <v>31462</v>
      </c>
      <c r="R12" s="165">
        <v>40904</v>
      </c>
      <c r="S12" s="165">
        <v>41828</v>
      </c>
      <c r="T12" s="165">
        <v>43681</v>
      </c>
      <c r="U12" s="180">
        <f>IFERROR(T12/S12-1,"-")</f>
        <v>4.4300468585636521E-2</v>
      </c>
      <c r="V12" s="164">
        <f t="shared" si="5"/>
        <v>1853</v>
      </c>
      <c r="W12" s="166">
        <f t="shared" si="4"/>
        <v>0.31032033020509942</v>
      </c>
    </row>
    <row r="13" spans="1:23" s="57" customFormat="1" x14ac:dyDescent="0.25">
      <c r="B13" s="160" t="s">
        <v>109</v>
      </c>
      <c r="C13" s="161">
        <v>601732</v>
      </c>
      <c r="D13" s="161">
        <v>181932</v>
      </c>
      <c r="E13" s="161">
        <v>1371993</v>
      </c>
      <c r="F13" s="161">
        <v>1575402</v>
      </c>
      <c r="G13" s="161">
        <v>1693534</v>
      </c>
      <c r="H13" s="161">
        <v>1655772</v>
      </c>
      <c r="I13" s="179">
        <f>IFERROR(H13/G13-1,"-")</f>
        <v>-2.2297751329468429E-2</v>
      </c>
      <c r="J13" s="160">
        <f t="shared" si="1"/>
        <v>-37762</v>
      </c>
      <c r="K13" s="162">
        <f t="shared" si="2"/>
        <v>0.8048053886612776</v>
      </c>
      <c r="N13" s="160" t="s">
        <v>109</v>
      </c>
      <c r="O13" s="161">
        <v>25913</v>
      </c>
      <c r="P13" s="161">
        <v>20149</v>
      </c>
      <c r="Q13" s="161">
        <v>41445</v>
      </c>
      <c r="R13" s="161">
        <v>50111</v>
      </c>
      <c r="S13" s="161">
        <v>49473</v>
      </c>
      <c r="T13" s="161">
        <v>53036</v>
      </c>
      <c r="U13" s="179">
        <f>IFERROR(T13/S13-1,"-")</f>
        <v>7.20190811149517E-2</v>
      </c>
      <c r="V13" s="160">
        <f t="shared" si="5"/>
        <v>3563</v>
      </c>
      <c r="W13" s="162">
        <f t="shared" si="4"/>
        <v>0.37678050028061749</v>
      </c>
    </row>
    <row r="14" spans="1:23" s="57" customFormat="1" x14ac:dyDescent="0.25">
      <c r="B14" s="164" t="s">
        <v>112</v>
      </c>
      <c r="C14" s="165">
        <v>240301</v>
      </c>
      <c r="D14" s="165">
        <v>9925</v>
      </c>
      <c r="E14" s="165">
        <v>603696</v>
      </c>
      <c r="F14" s="165">
        <v>699698</v>
      </c>
      <c r="G14" s="165">
        <v>748985</v>
      </c>
      <c r="H14" s="165">
        <v>738018</v>
      </c>
      <c r="I14" s="180">
        <f t="shared" ref="I14:I21" si="6">IFERROR(H14/G14-1,"-")</f>
        <v>-1.464248282675884E-2</v>
      </c>
      <c r="J14" s="164">
        <f t="shared" si="1"/>
        <v>-10967</v>
      </c>
      <c r="K14" s="166">
        <f t="shared" si="2"/>
        <v>0.35872140809786535</v>
      </c>
      <c r="N14" s="164" t="s">
        <v>112</v>
      </c>
      <c r="O14" s="165">
        <v>2810</v>
      </c>
      <c r="P14" s="165">
        <v>615</v>
      </c>
      <c r="Q14" s="165">
        <v>4066</v>
      </c>
      <c r="R14" s="165">
        <v>6033</v>
      </c>
      <c r="S14" s="165">
        <v>6038</v>
      </c>
      <c r="T14" s="165">
        <v>5509</v>
      </c>
      <c r="U14" s="180">
        <f t="shared" ref="U14:U21" si="7">IFERROR(T14/S14-1,"-")</f>
        <v>-8.761179198410074E-2</v>
      </c>
      <c r="V14" s="164">
        <f t="shared" si="5"/>
        <v>-529</v>
      </c>
      <c r="W14" s="166">
        <f t="shared" si="4"/>
        <v>3.9137261031109469E-2</v>
      </c>
    </row>
    <row r="15" spans="1:23" x14ac:dyDescent="0.25">
      <c r="A15" s="1"/>
      <c r="B15" s="164" t="s">
        <v>115</v>
      </c>
      <c r="C15" s="165">
        <v>87097</v>
      </c>
      <c r="D15" s="165">
        <v>30722</v>
      </c>
      <c r="E15" s="165">
        <v>161778</v>
      </c>
      <c r="F15" s="165">
        <v>191822</v>
      </c>
      <c r="G15" s="165">
        <v>201370</v>
      </c>
      <c r="H15" s="165">
        <v>193248</v>
      </c>
      <c r="I15" s="180">
        <f t="shared" si="6"/>
        <v>-4.03337140586979E-2</v>
      </c>
      <c r="J15" s="164">
        <f t="shared" si="1"/>
        <v>-8122</v>
      </c>
      <c r="K15" s="166">
        <f t="shared" si="2"/>
        <v>9.3930222124794099E-2</v>
      </c>
      <c r="N15" s="164" t="s">
        <v>115</v>
      </c>
      <c r="O15" s="165">
        <v>2894</v>
      </c>
      <c r="P15" s="165">
        <v>2123</v>
      </c>
      <c r="Q15" s="165">
        <v>4651</v>
      </c>
      <c r="R15" s="165">
        <v>7604</v>
      </c>
      <c r="S15" s="165">
        <v>7167</v>
      </c>
      <c r="T15" s="165">
        <v>8018</v>
      </c>
      <c r="U15" s="180">
        <f t="shared" si="7"/>
        <v>0.11873866331798522</v>
      </c>
      <c r="V15" s="164">
        <f t="shared" si="5"/>
        <v>851</v>
      </c>
      <c r="W15" s="166">
        <f t="shared" si="4"/>
        <v>5.6961800498717685E-2</v>
      </c>
    </row>
    <row r="16" spans="1:23" x14ac:dyDescent="0.25">
      <c r="A16" s="1"/>
      <c r="B16" s="164" t="s">
        <v>118</v>
      </c>
      <c r="C16" s="165">
        <v>31900</v>
      </c>
      <c r="D16" s="165">
        <v>34584</v>
      </c>
      <c r="E16" s="165">
        <v>80443</v>
      </c>
      <c r="F16" s="165">
        <v>91920</v>
      </c>
      <c r="G16" s="165">
        <v>98242</v>
      </c>
      <c r="H16" s="165">
        <v>90996</v>
      </c>
      <c r="I16" s="180">
        <f t="shared" si="6"/>
        <v>-7.3756641762179109E-2</v>
      </c>
      <c r="J16" s="164">
        <f t="shared" si="1"/>
        <v>-7246</v>
      </c>
      <c r="K16" s="166">
        <f t="shared" si="2"/>
        <v>4.4229562492071141E-2</v>
      </c>
      <c r="N16" s="164" t="s">
        <v>118</v>
      </c>
      <c r="O16" s="165">
        <v>1950</v>
      </c>
      <c r="P16" s="165">
        <v>2898</v>
      </c>
      <c r="Q16" s="165">
        <v>4036</v>
      </c>
      <c r="R16" s="165">
        <v>4476</v>
      </c>
      <c r="S16" s="165">
        <v>4146</v>
      </c>
      <c r="T16" s="165">
        <v>4275</v>
      </c>
      <c r="U16" s="180">
        <f t="shared" si="7"/>
        <v>3.1114327062228719E-2</v>
      </c>
      <c r="V16" s="164">
        <f t="shared" si="5"/>
        <v>129</v>
      </c>
      <c r="W16" s="166">
        <f t="shared" si="4"/>
        <v>3.0370628227989287E-2</v>
      </c>
    </row>
    <row r="17" spans="1:23" x14ac:dyDescent="0.25">
      <c r="A17" s="1"/>
      <c r="B17" s="164" t="s">
        <v>125</v>
      </c>
      <c r="C17" s="165">
        <v>19336</v>
      </c>
      <c r="D17" s="165">
        <v>6311</v>
      </c>
      <c r="E17" s="165">
        <v>63615</v>
      </c>
      <c r="F17" s="165">
        <v>54916</v>
      </c>
      <c r="G17" s="165">
        <v>61481</v>
      </c>
      <c r="H17" s="165">
        <v>56115</v>
      </c>
      <c r="I17" s="180">
        <f t="shared" si="6"/>
        <v>-8.7278996763227701E-2</v>
      </c>
      <c r="J17" s="164">
        <f t="shared" si="1"/>
        <v>-5366</v>
      </c>
      <c r="K17" s="166">
        <f t="shared" si="2"/>
        <v>2.7275285718521385E-2</v>
      </c>
      <c r="N17" s="164" t="s">
        <v>125</v>
      </c>
      <c r="O17" s="165">
        <v>527</v>
      </c>
      <c r="P17" s="165">
        <v>311</v>
      </c>
      <c r="Q17" s="165">
        <v>1177</v>
      </c>
      <c r="R17" s="165">
        <v>1213</v>
      </c>
      <c r="S17" s="165">
        <v>1249</v>
      </c>
      <c r="T17" s="165">
        <v>1298</v>
      </c>
      <c r="U17" s="180">
        <f t="shared" si="7"/>
        <v>3.9231385108086547E-2</v>
      </c>
      <c r="V17" s="164">
        <f t="shared" si="5"/>
        <v>49</v>
      </c>
      <c r="W17" s="166">
        <f t="shared" si="4"/>
        <v>9.2213041964748759E-3</v>
      </c>
    </row>
    <row r="18" spans="1:23" x14ac:dyDescent="0.25">
      <c r="A18" s="1"/>
      <c r="B18" s="164" t="s">
        <v>121</v>
      </c>
      <c r="C18" s="165">
        <v>26204</v>
      </c>
      <c r="D18" s="165">
        <v>11280</v>
      </c>
      <c r="E18" s="165">
        <v>64021</v>
      </c>
      <c r="F18" s="165">
        <v>62799</v>
      </c>
      <c r="G18" s="165">
        <v>67393</v>
      </c>
      <c r="H18" s="165">
        <v>61732</v>
      </c>
      <c r="I18" s="180">
        <f t="shared" si="6"/>
        <v>-8.3999821939964137E-2</v>
      </c>
      <c r="J18" s="164">
        <f t="shared" si="1"/>
        <v>-5661</v>
      </c>
      <c r="K18" s="166">
        <f t="shared" si="2"/>
        <v>3.0005487623198112E-2</v>
      </c>
      <c r="N18" s="164" t="s">
        <v>121</v>
      </c>
      <c r="O18" s="165">
        <v>455</v>
      </c>
      <c r="P18" s="165">
        <v>305</v>
      </c>
      <c r="Q18" s="165">
        <v>877</v>
      </c>
      <c r="R18" s="165">
        <v>940</v>
      </c>
      <c r="S18" s="165">
        <v>1013</v>
      </c>
      <c r="T18" s="165">
        <v>1127</v>
      </c>
      <c r="U18" s="180">
        <f t="shared" si="7"/>
        <v>0.11253701875616984</v>
      </c>
      <c r="V18" s="164">
        <f t="shared" si="5"/>
        <v>114</v>
      </c>
      <c r="W18" s="166">
        <f t="shared" si="4"/>
        <v>8.006479067355304E-3</v>
      </c>
    </row>
    <row r="19" spans="1:23" x14ac:dyDescent="0.25">
      <c r="A19" s="163" t="s">
        <v>146</v>
      </c>
      <c r="B19" s="164" t="s">
        <v>130</v>
      </c>
      <c r="C19" s="165">
        <v>17976</v>
      </c>
      <c r="D19" s="165">
        <v>433</v>
      </c>
      <c r="E19" s="165">
        <v>21629</v>
      </c>
      <c r="F19" s="165">
        <v>28226</v>
      </c>
      <c r="G19" s="165">
        <v>24816</v>
      </c>
      <c r="H19" s="165">
        <v>24048</v>
      </c>
      <c r="I19" s="180">
        <f t="shared" si="6"/>
        <v>-3.0947775628626717E-2</v>
      </c>
      <c r="J19" s="164">
        <f t="shared" si="1"/>
        <v>-768</v>
      </c>
      <c r="K19" s="166">
        <f t="shared" si="2"/>
        <v>1.1688783230134584E-2</v>
      </c>
      <c r="N19" s="164" t="s">
        <v>130</v>
      </c>
      <c r="O19" s="165">
        <v>630</v>
      </c>
      <c r="P19" s="165">
        <v>34</v>
      </c>
      <c r="Q19" s="165">
        <v>572</v>
      </c>
      <c r="R19" s="165">
        <v>775</v>
      </c>
      <c r="S19" s="165">
        <v>858</v>
      </c>
      <c r="T19" s="165">
        <v>669</v>
      </c>
      <c r="U19" s="180">
        <f t="shared" si="7"/>
        <v>-0.22027972027972031</v>
      </c>
      <c r="V19" s="164">
        <f t="shared" si="5"/>
        <v>-189</v>
      </c>
      <c r="W19" s="166">
        <f t="shared" si="4"/>
        <v>4.7527369086607799E-3</v>
      </c>
    </row>
    <row r="20" spans="1:23" x14ac:dyDescent="0.25">
      <c r="A20" s="168" t="s">
        <v>147</v>
      </c>
      <c r="B20" s="164" t="s">
        <v>133</v>
      </c>
      <c r="C20" s="165">
        <v>24079</v>
      </c>
      <c r="D20" s="165">
        <v>1339</v>
      </c>
      <c r="E20" s="165">
        <v>15548</v>
      </c>
      <c r="F20" s="165">
        <v>24740</v>
      </c>
      <c r="G20" s="165">
        <v>23852</v>
      </c>
      <c r="H20" s="165">
        <v>20433</v>
      </c>
      <c r="I20" s="180">
        <f t="shared" si="6"/>
        <v>-0.1433422773771591</v>
      </c>
      <c r="J20" s="164">
        <f t="shared" si="1"/>
        <v>-3419</v>
      </c>
      <c r="K20" s="166">
        <f t="shared" si="2"/>
        <v>9.9316744736086156E-3</v>
      </c>
      <c r="N20" s="164" t="s">
        <v>133</v>
      </c>
      <c r="O20" s="165">
        <v>970</v>
      </c>
      <c r="P20" s="165">
        <v>141</v>
      </c>
      <c r="Q20" s="165">
        <v>1030</v>
      </c>
      <c r="R20" s="165">
        <v>1454</v>
      </c>
      <c r="S20" s="165">
        <v>1318</v>
      </c>
      <c r="T20" s="165">
        <v>1364</v>
      </c>
      <c r="U20" s="180">
        <f t="shared" si="7"/>
        <v>3.4901365705614529E-2</v>
      </c>
      <c r="V20" s="164">
        <f t="shared" si="5"/>
        <v>46</v>
      </c>
      <c r="W20" s="166">
        <f t="shared" si="4"/>
        <v>9.6901840708719031E-3</v>
      </c>
    </row>
    <row r="21" spans="1:23" x14ac:dyDescent="0.25">
      <c r="B21" s="169" t="s">
        <v>147</v>
      </c>
      <c r="C21" s="170">
        <f t="shared" ref="C21" si="8">C13-SUM(C14:C20)</f>
        <v>154839</v>
      </c>
      <c r="D21" s="170">
        <f t="shared" ref="D21:H21" si="9">D13-SUM(D14:D20)</f>
        <v>87338</v>
      </c>
      <c r="E21" s="170">
        <f t="shared" si="9"/>
        <v>361263</v>
      </c>
      <c r="F21" s="170">
        <f t="shared" si="9"/>
        <v>421281</v>
      </c>
      <c r="G21" s="170">
        <f t="shared" si="9"/>
        <v>467395</v>
      </c>
      <c r="H21" s="170">
        <f t="shared" si="9"/>
        <v>471182</v>
      </c>
      <c r="I21" s="181">
        <f t="shared" si="6"/>
        <v>8.1023545395222385E-3</v>
      </c>
      <c r="J21" s="169">
        <f t="shared" si="1"/>
        <v>3787</v>
      </c>
      <c r="K21" s="171">
        <f t="shared" si="2"/>
        <v>0.22902296490108426</v>
      </c>
      <c r="N21" s="169" t="s">
        <v>147</v>
      </c>
      <c r="O21" s="170">
        <f t="shared" ref="O21:T21" si="10">O13-SUM(O14:O20)</f>
        <v>15677</v>
      </c>
      <c r="P21" s="170">
        <f t="shared" si="10"/>
        <v>13722</v>
      </c>
      <c r="Q21" s="170">
        <f t="shared" si="10"/>
        <v>25036</v>
      </c>
      <c r="R21" s="170">
        <f t="shared" si="10"/>
        <v>27616</v>
      </c>
      <c r="S21" s="170">
        <f t="shared" si="10"/>
        <v>27684</v>
      </c>
      <c r="T21" s="170">
        <f t="shared" si="10"/>
        <v>30776</v>
      </c>
      <c r="U21" s="181">
        <f t="shared" si="7"/>
        <v>0.11168906227423792</v>
      </c>
      <c r="V21" s="169">
        <f>T21-S21</f>
        <v>3092</v>
      </c>
      <c r="W21" s="171">
        <f t="shared" si="4"/>
        <v>0.2186401062794382</v>
      </c>
    </row>
    <row r="22" spans="1:23" x14ac:dyDescent="0.25">
      <c r="B22" s="156" t="s">
        <v>46</v>
      </c>
      <c r="C22" s="154"/>
      <c r="D22" s="154"/>
      <c r="E22" s="154"/>
      <c r="F22" s="154"/>
      <c r="G22" s="154"/>
      <c r="H22" s="154"/>
      <c r="I22" s="155"/>
      <c r="J22" s="155"/>
      <c r="K22" s="154"/>
    </row>
    <row r="23" spans="1:23" x14ac:dyDescent="0.25">
      <c r="B23" s="157" t="s">
        <v>70</v>
      </c>
      <c r="C23" s="177">
        <f t="shared" ref="C23:H23" si="11">C24+C27</f>
        <v>279824</v>
      </c>
      <c r="D23" s="177">
        <f t="shared" si="11"/>
        <v>151180</v>
      </c>
      <c r="E23" s="177">
        <f t="shared" si="11"/>
        <v>713676</v>
      </c>
      <c r="F23" s="177">
        <f t="shared" si="11"/>
        <v>751148</v>
      </c>
      <c r="G23" s="177">
        <f t="shared" si="11"/>
        <v>782016</v>
      </c>
      <c r="H23" s="177">
        <f t="shared" si="11"/>
        <v>735111</v>
      </c>
      <c r="I23" s="178">
        <f>IFERROR(H23/G23-1,"-")</f>
        <v>-5.9979591210409966E-2</v>
      </c>
      <c r="J23" s="177">
        <f>H23-G23</f>
        <v>-46905</v>
      </c>
      <c r="K23" s="178">
        <f t="shared" ref="K23:K35" si="12">H23/H$9</f>
        <v>0.35730843018494118</v>
      </c>
    </row>
    <row r="24" spans="1:23" x14ac:dyDescent="0.25">
      <c r="B24" s="160" t="s">
        <v>99</v>
      </c>
      <c r="C24" s="161">
        <v>16647</v>
      </c>
      <c r="D24" s="161">
        <v>75480</v>
      </c>
      <c r="E24" s="161">
        <v>74711</v>
      </c>
      <c r="F24" s="161">
        <v>63272</v>
      </c>
      <c r="G24" s="161">
        <v>54051</v>
      </c>
      <c r="H24" s="161">
        <v>48708</v>
      </c>
      <c r="I24" s="179">
        <f>IFERROR(H24/G24-1,"-")</f>
        <v>-9.8851085086307355E-2</v>
      </c>
      <c r="J24" s="160">
        <f t="shared" ref="J24:J34" si="13">H24-G24</f>
        <v>-5343</v>
      </c>
      <c r="K24" s="162">
        <f t="shared" si="12"/>
        <v>2.3675035494569004E-2</v>
      </c>
    </row>
    <row r="25" spans="1:23" x14ac:dyDescent="0.25">
      <c r="B25" s="164" t="s">
        <v>105</v>
      </c>
      <c r="C25" s="165">
        <v>6472</v>
      </c>
      <c r="D25" s="165">
        <v>44079</v>
      </c>
      <c r="E25" s="165">
        <v>31838</v>
      </c>
      <c r="F25" s="165">
        <v>25299</v>
      </c>
      <c r="G25" s="165">
        <v>18564</v>
      </c>
      <c r="H25" s="165">
        <v>21830</v>
      </c>
      <c r="I25" s="180">
        <f>IFERROR(H25/G25-1,"-")</f>
        <v>0.17593191122602891</v>
      </c>
      <c r="J25" s="164">
        <f t="shared" si="13"/>
        <v>3266</v>
      </c>
      <c r="K25" s="166">
        <f t="shared" si="12"/>
        <v>1.0610701011054473E-2</v>
      </c>
    </row>
    <row r="26" spans="1:23" x14ac:dyDescent="0.25">
      <c r="B26" s="164" t="s">
        <v>102</v>
      </c>
      <c r="C26" s="165">
        <v>10175</v>
      </c>
      <c r="D26" s="165">
        <v>31401</v>
      </c>
      <c r="E26" s="165">
        <v>42873</v>
      </c>
      <c r="F26" s="165">
        <v>37973</v>
      </c>
      <c r="G26" s="165">
        <v>35487</v>
      </c>
      <c r="H26" s="165">
        <v>26878</v>
      </c>
      <c r="I26" s="180">
        <f>IFERROR(H26/G26-1,"-")</f>
        <v>-0.24259588018147493</v>
      </c>
      <c r="J26" s="164">
        <f t="shared" si="13"/>
        <v>-8609</v>
      </c>
      <c r="K26" s="166">
        <f t="shared" si="12"/>
        <v>1.3064334483514529E-2</v>
      </c>
    </row>
    <row r="27" spans="1:23" x14ac:dyDescent="0.25">
      <c r="B27" s="160" t="s">
        <v>109</v>
      </c>
      <c r="C27" s="161">
        <v>263177</v>
      </c>
      <c r="D27" s="161">
        <v>75700</v>
      </c>
      <c r="E27" s="161">
        <v>638965</v>
      </c>
      <c r="F27" s="161">
        <v>687876</v>
      </c>
      <c r="G27" s="161">
        <v>727965</v>
      </c>
      <c r="H27" s="161">
        <v>686403</v>
      </c>
      <c r="I27" s="179">
        <f>IFERROR(H27/G27-1,"-")</f>
        <v>-5.7093404215862065E-2</v>
      </c>
      <c r="J27" s="160">
        <f t="shared" si="13"/>
        <v>-41562</v>
      </c>
      <c r="K27" s="162">
        <f t="shared" si="12"/>
        <v>0.33363339469037218</v>
      </c>
    </row>
    <row r="28" spans="1:23" x14ac:dyDescent="0.25">
      <c r="B28" s="164" t="s">
        <v>112</v>
      </c>
      <c r="C28" s="165">
        <v>115594</v>
      </c>
      <c r="D28" s="165">
        <v>3750</v>
      </c>
      <c r="E28" s="165">
        <v>311908</v>
      </c>
      <c r="F28" s="165">
        <v>341742</v>
      </c>
      <c r="G28" s="165">
        <v>364320</v>
      </c>
      <c r="H28" s="165">
        <v>347002</v>
      </c>
      <c r="I28" s="180">
        <f t="shared" ref="I28:I35" si="14">IFERROR(H28/G28-1,"-")</f>
        <v>-4.7535133948177433E-2</v>
      </c>
      <c r="J28" s="164">
        <f t="shared" si="13"/>
        <v>-17318</v>
      </c>
      <c r="K28" s="166">
        <f t="shared" si="12"/>
        <v>0.16866397032697777</v>
      </c>
    </row>
    <row r="29" spans="1:23" x14ac:dyDescent="0.25">
      <c r="B29" s="164" t="s">
        <v>115</v>
      </c>
      <c r="C29" s="165">
        <v>34149</v>
      </c>
      <c r="D29" s="165">
        <v>13191</v>
      </c>
      <c r="E29" s="165">
        <v>73995</v>
      </c>
      <c r="F29" s="165">
        <v>82578</v>
      </c>
      <c r="G29" s="165">
        <v>83516</v>
      </c>
      <c r="H29" s="165">
        <v>76918</v>
      </c>
      <c r="I29" s="180">
        <f t="shared" si="14"/>
        <v>-7.9002825805833621E-2</v>
      </c>
      <c r="J29" s="164">
        <f t="shared" si="13"/>
        <v>-6598</v>
      </c>
      <c r="K29" s="166">
        <f t="shared" si="12"/>
        <v>3.7386802582147875E-2</v>
      </c>
    </row>
    <row r="30" spans="1:23" x14ac:dyDescent="0.25">
      <c r="B30" s="164" t="s">
        <v>118</v>
      </c>
      <c r="C30" s="165">
        <v>11026</v>
      </c>
      <c r="D30" s="165">
        <v>12859</v>
      </c>
      <c r="E30" s="165">
        <v>26727</v>
      </c>
      <c r="F30" s="165">
        <v>25158</v>
      </c>
      <c r="G30" s="165">
        <v>22644</v>
      </c>
      <c r="H30" s="165">
        <v>20928</v>
      </c>
      <c r="I30" s="180">
        <f t="shared" si="14"/>
        <v>-7.5781664016958183E-2</v>
      </c>
      <c r="J30" s="164">
        <f t="shared" si="13"/>
        <v>-1716</v>
      </c>
      <c r="K30" s="166">
        <f t="shared" si="12"/>
        <v>1.0172274427821716E-2</v>
      </c>
    </row>
    <row r="31" spans="1:23" x14ac:dyDescent="0.25">
      <c r="B31" s="164" t="s">
        <v>125</v>
      </c>
      <c r="C31" s="165">
        <v>10228</v>
      </c>
      <c r="D31" s="165">
        <v>3095</v>
      </c>
      <c r="E31" s="165">
        <v>34610</v>
      </c>
      <c r="F31" s="165">
        <v>27539</v>
      </c>
      <c r="G31" s="165">
        <v>29757</v>
      </c>
      <c r="H31" s="165">
        <v>26878</v>
      </c>
      <c r="I31" s="180">
        <f t="shared" si="14"/>
        <v>-9.6750344456766446E-2</v>
      </c>
      <c r="J31" s="164">
        <f t="shared" si="13"/>
        <v>-2879</v>
      </c>
      <c r="K31" s="166">
        <f t="shared" si="12"/>
        <v>1.3064334483514529E-2</v>
      </c>
    </row>
    <row r="32" spans="1:23" x14ac:dyDescent="0.25">
      <c r="B32" s="164" t="s">
        <v>121</v>
      </c>
      <c r="C32" s="165">
        <v>14676</v>
      </c>
      <c r="D32" s="165">
        <v>6676</v>
      </c>
      <c r="E32" s="165">
        <v>39304</v>
      </c>
      <c r="F32" s="165">
        <v>35390</v>
      </c>
      <c r="G32" s="165">
        <v>36760</v>
      </c>
      <c r="H32" s="165">
        <v>35240</v>
      </c>
      <c r="I32" s="180">
        <f t="shared" si="14"/>
        <v>-4.1349292709466856E-2</v>
      </c>
      <c r="J32" s="164">
        <f t="shared" si="13"/>
        <v>-1520</v>
      </c>
      <c r="K32" s="166">
        <f t="shared" si="12"/>
        <v>1.7128772497918446E-2</v>
      </c>
    </row>
    <row r="33" spans="2:11" x14ac:dyDescent="0.25">
      <c r="B33" s="164" t="s">
        <v>130</v>
      </c>
      <c r="C33" s="165">
        <v>9525</v>
      </c>
      <c r="D33" s="165">
        <v>129</v>
      </c>
      <c r="E33" s="165">
        <v>11543</v>
      </c>
      <c r="F33" s="165">
        <v>12877</v>
      </c>
      <c r="G33" s="165">
        <v>11952</v>
      </c>
      <c r="H33" s="165">
        <v>10759</v>
      </c>
      <c r="I33" s="180">
        <f t="shared" si="14"/>
        <v>-9.9815930388219565E-2</v>
      </c>
      <c r="J33" s="164">
        <f t="shared" si="13"/>
        <v>-1193</v>
      </c>
      <c r="K33" s="166">
        <f t="shared" si="12"/>
        <v>5.2295250654115933E-3</v>
      </c>
    </row>
    <row r="34" spans="2:11" x14ac:dyDescent="0.25">
      <c r="B34" s="164" t="s">
        <v>133</v>
      </c>
      <c r="C34" s="165">
        <v>11099</v>
      </c>
      <c r="D34" s="165">
        <v>208</v>
      </c>
      <c r="E34" s="165">
        <v>7121</v>
      </c>
      <c r="F34" s="165">
        <v>11729</v>
      </c>
      <c r="G34" s="165">
        <v>11214</v>
      </c>
      <c r="H34" s="165">
        <v>9639</v>
      </c>
      <c r="I34" s="180">
        <f t="shared" si="14"/>
        <v>-0.1404494382022472</v>
      </c>
      <c r="J34" s="164">
        <f t="shared" si="13"/>
        <v>-1575</v>
      </c>
      <c r="K34" s="166">
        <f t="shared" si="12"/>
        <v>4.6851372902223581E-3</v>
      </c>
    </row>
    <row r="35" spans="2:11" x14ac:dyDescent="0.25">
      <c r="B35" s="169" t="s">
        <v>147</v>
      </c>
      <c r="C35" s="170">
        <f t="shared" ref="C35" si="15">C27-SUM(C28:C34)</f>
        <v>56880</v>
      </c>
      <c r="D35" s="170">
        <f t="shared" ref="D35:H35" si="16">D27-SUM(D28:D34)</f>
        <v>35792</v>
      </c>
      <c r="E35" s="170">
        <f t="shared" si="16"/>
        <v>133757</v>
      </c>
      <c r="F35" s="170">
        <f t="shared" si="16"/>
        <v>150863</v>
      </c>
      <c r="G35" s="170">
        <f t="shared" si="16"/>
        <v>167802</v>
      </c>
      <c r="H35" s="170">
        <f t="shared" si="16"/>
        <v>159039</v>
      </c>
      <c r="I35" s="181">
        <f t="shared" si="14"/>
        <v>-5.2222261951585747E-2</v>
      </c>
      <c r="J35" s="169">
        <f>H35-G35</f>
        <v>-8763</v>
      </c>
      <c r="K35" s="171">
        <f t="shared" si="12"/>
        <v>7.7302578016357884E-2</v>
      </c>
    </row>
    <row r="36" spans="2:11" x14ac:dyDescent="0.25">
      <c r="B36" s="156" t="s">
        <v>47</v>
      </c>
      <c r="C36" s="154"/>
      <c r="D36" s="154"/>
      <c r="E36" s="154"/>
      <c r="F36" s="154"/>
      <c r="G36" s="154"/>
      <c r="H36" s="154"/>
      <c r="I36" s="155"/>
      <c r="J36" s="155"/>
      <c r="K36" s="154"/>
    </row>
    <row r="37" spans="2:11" x14ac:dyDescent="0.25">
      <c r="B37" s="157" t="s">
        <v>70</v>
      </c>
      <c r="C37" s="177">
        <f t="shared" ref="C37:H37" si="17">C38+C41</f>
        <v>147106</v>
      </c>
      <c r="D37" s="177">
        <f t="shared" si="17"/>
        <v>23957</v>
      </c>
      <c r="E37" s="177">
        <f t="shared" si="17"/>
        <v>339898</v>
      </c>
      <c r="F37" s="177">
        <f t="shared" si="17"/>
        <v>391097</v>
      </c>
      <c r="G37" s="177">
        <f t="shared" si="17"/>
        <v>412779</v>
      </c>
      <c r="H37" s="177">
        <f t="shared" si="17"/>
        <v>427725</v>
      </c>
      <c r="I37" s="178">
        <f>IFERROR(H37/G37-1,"-")</f>
        <v>3.6208237337655325E-2</v>
      </c>
      <c r="J37" s="177">
        <f>H37-G37</f>
        <v>14946</v>
      </c>
      <c r="K37" s="178">
        <f t="shared" ref="K37:K49" si="18">H37/H$9</f>
        <v>0.20790023316322837</v>
      </c>
    </row>
    <row r="38" spans="2:11" x14ac:dyDescent="0.25">
      <c r="B38" s="160" t="s">
        <v>99</v>
      </c>
      <c r="C38" s="161">
        <v>9666</v>
      </c>
      <c r="D38" s="161">
        <v>6560</v>
      </c>
      <c r="E38" s="161">
        <v>34393</v>
      </c>
      <c r="F38" s="161">
        <v>34527</v>
      </c>
      <c r="G38" s="161">
        <v>32776</v>
      </c>
      <c r="H38" s="161">
        <v>34151</v>
      </c>
      <c r="I38" s="179">
        <f>IFERROR(H38/G38-1,"-")</f>
        <v>4.1951427874054259E-2</v>
      </c>
      <c r="J38" s="160">
        <f t="shared" ref="J38:J48" si="19">H38-G38</f>
        <v>1375</v>
      </c>
      <c r="K38" s="162">
        <f t="shared" si="18"/>
        <v>1.6599452598649627E-2</v>
      </c>
    </row>
    <row r="39" spans="2:11" x14ac:dyDescent="0.25">
      <c r="B39" s="164" t="s">
        <v>105</v>
      </c>
      <c r="C39" s="165">
        <v>2065</v>
      </c>
      <c r="D39" s="165">
        <v>3118</v>
      </c>
      <c r="E39" s="165">
        <v>8971</v>
      </c>
      <c r="F39" s="165">
        <v>10643</v>
      </c>
      <c r="G39" s="165">
        <v>13026</v>
      </c>
      <c r="H39" s="165">
        <v>12373</v>
      </c>
      <c r="I39" s="180">
        <f>IFERROR(H39/G39-1,"-")</f>
        <v>-5.0130508214340508E-2</v>
      </c>
      <c r="J39" s="164">
        <f t="shared" si="19"/>
        <v>-653</v>
      </c>
      <c r="K39" s="166">
        <f t="shared" si="18"/>
        <v>6.0140267343003666E-3</v>
      </c>
    </row>
    <row r="40" spans="2:11" x14ac:dyDescent="0.25">
      <c r="B40" s="164" t="s">
        <v>102</v>
      </c>
      <c r="C40" s="165">
        <v>7601</v>
      </c>
      <c r="D40" s="165">
        <v>3442</v>
      </c>
      <c r="E40" s="165">
        <v>25422</v>
      </c>
      <c r="F40" s="165">
        <v>23884</v>
      </c>
      <c r="G40" s="165">
        <v>19750</v>
      </c>
      <c r="H40" s="165">
        <v>21778</v>
      </c>
      <c r="I40" s="180">
        <f>IFERROR(H40/G40-1,"-")</f>
        <v>0.10268354430379745</v>
      </c>
      <c r="J40" s="164">
        <f t="shared" si="19"/>
        <v>2028</v>
      </c>
      <c r="K40" s="166">
        <f t="shared" si="18"/>
        <v>1.058542586434926E-2</v>
      </c>
    </row>
    <row r="41" spans="2:11" x14ac:dyDescent="0.25">
      <c r="B41" s="160" t="s">
        <v>109</v>
      </c>
      <c r="C41" s="161">
        <v>137440</v>
      </c>
      <c r="D41" s="161">
        <v>17397</v>
      </c>
      <c r="E41" s="161">
        <v>305505</v>
      </c>
      <c r="F41" s="161">
        <v>356570</v>
      </c>
      <c r="G41" s="161">
        <v>380003</v>
      </c>
      <c r="H41" s="161">
        <v>393574</v>
      </c>
      <c r="I41" s="179">
        <f>IFERROR(H41/G41-1,"-")</f>
        <v>3.5712875950979273E-2</v>
      </c>
      <c r="J41" s="160">
        <f t="shared" si="19"/>
        <v>13571</v>
      </c>
      <c r="K41" s="162">
        <f t="shared" si="18"/>
        <v>0.19130078056457872</v>
      </c>
    </row>
    <row r="42" spans="2:11" x14ac:dyDescent="0.25">
      <c r="B42" s="164" t="s">
        <v>112</v>
      </c>
      <c r="C42" s="165">
        <v>66259</v>
      </c>
      <c r="D42" s="165">
        <v>681</v>
      </c>
      <c r="E42" s="165">
        <v>152833</v>
      </c>
      <c r="F42" s="165">
        <v>178011</v>
      </c>
      <c r="G42" s="165">
        <v>195709</v>
      </c>
      <c r="H42" s="165">
        <v>199446</v>
      </c>
      <c r="I42" s="180">
        <f t="shared" ref="I42:I49" si="20">IFERROR(H42/G42-1,"-")</f>
        <v>1.9094676279578282E-2</v>
      </c>
      <c r="J42" s="164">
        <f t="shared" si="19"/>
        <v>3737</v>
      </c>
      <c r="K42" s="166">
        <f t="shared" si="18"/>
        <v>9.6942825187850232E-2</v>
      </c>
    </row>
    <row r="43" spans="2:11" x14ac:dyDescent="0.25">
      <c r="B43" s="164" t="s">
        <v>115</v>
      </c>
      <c r="C43" s="165">
        <v>8479</v>
      </c>
      <c r="D43" s="165">
        <v>1451</v>
      </c>
      <c r="E43" s="165">
        <v>12524</v>
      </c>
      <c r="F43" s="165">
        <v>17276</v>
      </c>
      <c r="G43" s="165">
        <v>16039</v>
      </c>
      <c r="H43" s="165">
        <v>16535</v>
      </c>
      <c r="I43" s="180">
        <f t="shared" si="20"/>
        <v>3.0924621235737915E-2</v>
      </c>
      <c r="J43" s="164">
        <f t="shared" si="19"/>
        <v>496</v>
      </c>
      <c r="K43" s="166">
        <f t="shared" si="18"/>
        <v>8.0370105917446505E-3</v>
      </c>
    </row>
    <row r="44" spans="2:11" x14ac:dyDescent="0.25">
      <c r="B44" s="164" t="s">
        <v>118</v>
      </c>
      <c r="C44" s="165">
        <v>4192</v>
      </c>
      <c r="D44" s="165">
        <v>2356</v>
      </c>
      <c r="E44" s="165">
        <v>8287</v>
      </c>
      <c r="F44" s="165">
        <v>10240</v>
      </c>
      <c r="G44" s="165">
        <v>9690</v>
      </c>
      <c r="H44" s="165">
        <v>10394</v>
      </c>
      <c r="I44" s="180">
        <f t="shared" si="20"/>
        <v>7.2652218782249811E-2</v>
      </c>
      <c r="J44" s="164">
        <f t="shared" si="19"/>
        <v>704</v>
      </c>
      <c r="K44" s="166">
        <f t="shared" si="18"/>
        <v>5.0521129779615304E-3</v>
      </c>
    </row>
    <row r="45" spans="2:11" x14ac:dyDescent="0.25">
      <c r="B45" s="164" t="s">
        <v>125</v>
      </c>
      <c r="C45" s="165">
        <v>5403</v>
      </c>
      <c r="D45" s="165">
        <v>904</v>
      </c>
      <c r="E45" s="165">
        <v>14984</v>
      </c>
      <c r="F45" s="165">
        <v>13823</v>
      </c>
      <c r="G45" s="165">
        <v>15055</v>
      </c>
      <c r="H45" s="165">
        <v>13257</v>
      </c>
      <c r="I45" s="180">
        <f t="shared" si="20"/>
        <v>-0.11942876120890067</v>
      </c>
      <c r="J45" s="164">
        <f t="shared" si="19"/>
        <v>-1798</v>
      </c>
      <c r="K45" s="166">
        <f t="shared" si="18"/>
        <v>6.4437042282890133E-3</v>
      </c>
    </row>
    <row r="46" spans="2:11" x14ac:dyDescent="0.25">
      <c r="B46" s="164" t="s">
        <v>121</v>
      </c>
      <c r="C46" s="165">
        <v>7570</v>
      </c>
      <c r="D46" s="165">
        <v>1373</v>
      </c>
      <c r="E46" s="165">
        <v>14223</v>
      </c>
      <c r="F46" s="165">
        <v>16709</v>
      </c>
      <c r="G46" s="165">
        <v>17530</v>
      </c>
      <c r="H46" s="165">
        <v>14341</v>
      </c>
      <c r="I46" s="180">
        <f t="shared" si="20"/>
        <v>-0.18191671420422129</v>
      </c>
      <c r="J46" s="164">
        <f t="shared" si="19"/>
        <v>-3189</v>
      </c>
      <c r="K46" s="166">
        <f t="shared" si="18"/>
        <v>6.970593824990024E-3</v>
      </c>
    </row>
    <row r="47" spans="2:11" x14ac:dyDescent="0.25">
      <c r="B47" s="164" t="s">
        <v>130</v>
      </c>
      <c r="C47" s="165">
        <v>3315</v>
      </c>
      <c r="D47" s="165">
        <v>120</v>
      </c>
      <c r="E47" s="165">
        <v>4507</v>
      </c>
      <c r="F47" s="165">
        <v>5953</v>
      </c>
      <c r="G47" s="165">
        <v>4878</v>
      </c>
      <c r="H47" s="165">
        <v>6067</v>
      </c>
      <c r="I47" s="180">
        <f t="shared" si="20"/>
        <v>0.24374743747437466</v>
      </c>
      <c r="J47" s="164">
        <f t="shared" si="19"/>
        <v>1189</v>
      </c>
      <c r="K47" s="166">
        <f t="shared" si="18"/>
        <v>2.9489291357795463E-3</v>
      </c>
    </row>
    <row r="48" spans="2:11" x14ac:dyDescent="0.25">
      <c r="B48" s="164" t="s">
        <v>133</v>
      </c>
      <c r="C48" s="165">
        <v>4738</v>
      </c>
      <c r="D48" s="165">
        <v>619</v>
      </c>
      <c r="E48" s="165">
        <v>3786</v>
      </c>
      <c r="F48" s="165">
        <v>5748</v>
      </c>
      <c r="G48" s="165">
        <v>5325</v>
      </c>
      <c r="H48" s="165">
        <v>4572</v>
      </c>
      <c r="I48" s="180">
        <f t="shared" si="20"/>
        <v>-0.14140845070422536</v>
      </c>
      <c r="J48" s="164">
        <f t="shared" si="19"/>
        <v>-753</v>
      </c>
      <c r="K48" s="166">
        <f t="shared" si="18"/>
        <v>2.2222686680046294E-3</v>
      </c>
    </row>
    <row r="49" spans="2:11" x14ac:dyDescent="0.25">
      <c r="B49" s="169" t="s">
        <v>147</v>
      </c>
      <c r="C49" s="170">
        <f t="shared" ref="C49" si="21">C41-SUM(C42:C48)</f>
        <v>37484</v>
      </c>
      <c r="D49" s="170">
        <f t="shared" ref="D49:H49" si="22">D41-SUM(D42:D48)</f>
        <v>9893</v>
      </c>
      <c r="E49" s="170">
        <f t="shared" si="22"/>
        <v>94361</v>
      </c>
      <c r="F49" s="170">
        <f t="shared" si="22"/>
        <v>108810</v>
      </c>
      <c r="G49" s="170">
        <f t="shared" si="22"/>
        <v>115777</v>
      </c>
      <c r="H49" s="170">
        <f t="shared" si="22"/>
        <v>128962</v>
      </c>
      <c r="I49" s="181">
        <f t="shared" si="20"/>
        <v>0.11388272282059475</v>
      </c>
      <c r="J49" s="169">
        <f>H49-G49</f>
        <v>13185</v>
      </c>
      <c r="K49" s="171">
        <f t="shared" si="18"/>
        <v>6.2683335949959104E-2</v>
      </c>
    </row>
    <row r="50" spans="2:11" x14ac:dyDescent="0.25">
      <c r="B50" s="156" t="s">
        <v>48</v>
      </c>
      <c r="C50" s="154"/>
      <c r="D50" s="154"/>
      <c r="E50" s="154"/>
      <c r="F50" s="154"/>
      <c r="G50" s="154"/>
      <c r="H50" s="154"/>
      <c r="I50" s="155"/>
      <c r="J50" s="155"/>
      <c r="K50" s="154"/>
    </row>
    <row r="51" spans="2:11" x14ac:dyDescent="0.25">
      <c r="B51" s="157" t="s">
        <v>70</v>
      </c>
      <c r="C51" s="177">
        <f t="shared" ref="C51:H51" si="23">C52+C55</f>
        <v>8192</v>
      </c>
      <c r="D51" s="177">
        <f t="shared" si="23"/>
        <v>5058</v>
      </c>
      <c r="E51" s="177">
        <f t="shared" si="23"/>
        <v>16823</v>
      </c>
      <c r="F51" s="177">
        <f t="shared" si="23"/>
        <v>27125</v>
      </c>
      <c r="G51" s="177">
        <f t="shared" si="23"/>
        <v>22938</v>
      </c>
      <c r="H51" s="177">
        <f t="shared" si="23"/>
        <v>21490</v>
      </c>
      <c r="I51" s="178">
        <f>IFERROR(H51/G51-1,"-")</f>
        <v>-6.3126689336472253E-2</v>
      </c>
      <c r="J51" s="177">
        <f>H51-G51</f>
        <v>-1448</v>
      </c>
      <c r="K51" s="178">
        <f t="shared" ref="K51:K63" si="24">H51/H$9</f>
        <v>1.0445440436443456E-2</v>
      </c>
    </row>
    <row r="52" spans="2:11" x14ac:dyDescent="0.25">
      <c r="B52" s="160" t="s">
        <v>99</v>
      </c>
      <c r="C52" s="161">
        <v>773</v>
      </c>
      <c r="D52" s="161">
        <v>1502</v>
      </c>
      <c r="E52" s="161">
        <v>2015</v>
      </c>
      <c r="F52" s="161">
        <v>11992</v>
      </c>
      <c r="G52" s="161">
        <v>6278</v>
      </c>
      <c r="H52" s="161">
        <v>4341</v>
      </c>
      <c r="I52" s="179">
        <f>IFERROR(H52/G52-1,"-")</f>
        <v>-0.30853775087607516</v>
      </c>
      <c r="J52" s="160">
        <f t="shared" ref="J52:J62" si="25">H52-G52</f>
        <v>-1937</v>
      </c>
      <c r="K52" s="162">
        <f t="shared" si="24"/>
        <v>2.1099886893718492E-3</v>
      </c>
    </row>
    <row r="53" spans="2:11" x14ac:dyDescent="0.25">
      <c r="B53" s="164" t="s">
        <v>105</v>
      </c>
      <c r="C53" s="165">
        <v>367</v>
      </c>
      <c r="D53" s="165">
        <v>685</v>
      </c>
      <c r="E53" s="165">
        <v>774</v>
      </c>
      <c r="F53" s="165">
        <v>8931</v>
      </c>
      <c r="G53" s="165">
        <v>4223</v>
      </c>
      <c r="H53" s="165">
        <v>2810</v>
      </c>
      <c r="I53" s="180">
        <f>IFERROR(H53/G53-1,"-")</f>
        <v>-0.33459625858394504</v>
      </c>
      <c r="J53" s="164">
        <f t="shared" si="25"/>
        <v>-1413</v>
      </c>
      <c r="K53" s="166">
        <f t="shared" si="24"/>
        <v>1.3658300431087069E-3</v>
      </c>
    </row>
    <row r="54" spans="2:11" x14ac:dyDescent="0.25">
      <c r="B54" s="164" t="s">
        <v>102</v>
      </c>
      <c r="C54" s="165">
        <v>406</v>
      </c>
      <c r="D54" s="165">
        <v>817</v>
      </c>
      <c r="E54" s="165">
        <v>1241</v>
      </c>
      <c r="F54" s="165">
        <v>3061</v>
      </c>
      <c r="G54" s="165">
        <v>2055</v>
      </c>
      <c r="H54" s="165">
        <v>1531</v>
      </c>
      <c r="I54" s="180">
        <f>IFERROR(H54/G54-1,"-")</f>
        <v>-0.25498783454987839</v>
      </c>
      <c r="J54" s="164">
        <f t="shared" si="25"/>
        <v>-524</v>
      </c>
      <c r="K54" s="166">
        <f t="shared" si="24"/>
        <v>7.4415864626314247E-4</v>
      </c>
    </row>
    <row r="55" spans="2:11" x14ac:dyDescent="0.25">
      <c r="B55" s="160" t="s">
        <v>109</v>
      </c>
      <c r="C55" s="161">
        <v>7419</v>
      </c>
      <c r="D55" s="161">
        <v>3556</v>
      </c>
      <c r="E55" s="161">
        <v>14808</v>
      </c>
      <c r="F55" s="161">
        <v>15133</v>
      </c>
      <c r="G55" s="161">
        <v>16660</v>
      </c>
      <c r="H55" s="161">
        <v>17149</v>
      </c>
      <c r="I55" s="179">
        <f>IFERROR(H55/G55-1,"-")</f>
        <v>2.9351740696278439E-2</v>
      </c>
      <c r="J55" s="160">
        <f t="shared" si="25"/>
        <v>489</v>
      </c>
      <c r="K55" s="162">
        <f t="shared" si="24"/>
        <v>8.3354517470716066E-3</v>
      </c>
    </row>
    <row r="56" spans="2:11" x14ac:dyDescent="0.25">
      <c r="B56" s="164" t="s">
        <v>112</v>
      </c>
      <c r="C56" s="165">
        <v>2301</v>
      </c>
      <c r="D56" s="165">
        <v>93</v>
      </c>
      <c r="E56" s="165">
        <v>5195</v>
      </c>
      <c r="F56" s="165">
        <v>4693</v>
      </c>
      <c r="G56" s="165">
        <v>5678</v>
      </c>
      <c r="H56" s="165">
        <v>6076</v>
      </c>
      <c r="I56" s="180">
        <f t="shared" ref="I56:I63" si="26">IFERROR(H56/G56-1,"-")</f>
        <v>7.0095103909827428E-2</v>
      </c>
      <c r="J56" s="164">
        <f t="shared" si="25"/>
        <v>398</v>
      </c>
      <c r="K56" s="166">
        <f t="shared" si="24"/>
        <v>2.9533036804016027E-3</v>
      </c>
    </row>
    <row r="57" spans="2:11" x14ac:dyDescent="0.25">
      <c r="B57" s="164" t="s">
        <v>115</v>
      </c>
      <c r="C57" s="165">
        <v>2164</v>
      </c>
      <c r="D57" s="165">
        <v>1309</v>
      </c>
      <c r="E57" s="165">
        <v>3627</v>
      </c>
      <c r="F57" s="165">
        <v>2689</v>
      </c>
      <c r="G57" s="165">
        <v>3388</v>
      </c>
      <c r="H57" s="165">
        <v>3491</v>
      </c>
      <c r="I57" s="180">
        <f t="shared" si="26"/>
        <v>3.0401416765053035E-2</v>
      </c>
      <c r="J57" s="164">
        <f t="shared" si="25"/>
        <v>103</v>
      </c>
      <c r="K57" s="166">
        <f t="shared" si="24"/>
        <v>1.6968372528443046E-3</v>
      </c>
    </row>
    <row r="58" spans="2:11" x14ac:dyDescent="0.25">
      <c r="B58" s="164" t="s">
        <v>118</v>
      </c>
      <c r="C58" s="165">
        <v>393</v>
      </c>
      <c r="D58" s="165">
        <v>618</v>
      </c>
      <c r="E58" s="165">
        <v>1130</v>
      </c>
      <c r="F58" s="165">
        <v>1547</v>
      </c>
      <c r="G58" s="165">
        <v>1228</v>
      </c>
      <c r="H58" s="165">
        <v>1091</v>
      </c>
      <c r="I58" s="180">
        <f t="shared" si="26"/>
        <v>-0.1115635179153095</v>
      </c>
      <c r="J58" s="164">
        <f t="shared" si="25"/>
        <v>-137</v>
      </c>
      <c r="K58" s="166">
        <f t="shared" si="24"/>
        <v>5.3029202029594279E-4</v>
      </c>
    </row>
    <row r="59" spans="2:11" x14ac:dyDescent="0.25">
      <c r="B59" s="164" t="s">
        <v>125</v>
      </c>
      <c r="C59" s="165">
        <v>205</v>
      </c>
      <c r="D59" s="165">
        <v>79</v>
      </c>
      <c r="E59" s="165">
        <v>420</v>
      </c>
      <c r="F59" s="165">
        <v>349</v>
      </c>
      <c r="G59" s="165">
        <v>535</v>
      </c>
      <c r="H59" s="165">
        <v>519</v>
      </c>
      <c r="I59" s="180">
        <f t="shared" si="26"/>
        <v>-2.9906542056074792E-2</v>
      </c>
      <c r="J59" s="164">
        <f t="shared" si="25"/>
        <v>-16</v>
      </c>
      <c r="K59" s="166">
        <f t="shared" si="24"/>
        <v>2.5226540653858323E-4</v>
      </c>
    </row>
    <row r="60" spans="2:11" x14ac:dyDescent="0.25">
      <c r="B60" s="164" t="s">
        <v>121</v>
      </c>
      <c r="C60" s="165">
        <v>135</v>
      </c>
      <c r="D60" s="165">
        <v>107</v>
      </c>
      <c r="E60" s="165">
        <v>385</v>
      </c>
      <c r="F60" s="165">
        <v>348</v>
      </c>
      <c r="G60" s="165">
        <v>390</v>
      </c>
      <c r="H60" s="165">
        <v>475</v>
      </c>
      <c r="I60" s="180">
        <f t="shared" si="26"/>
        <v>0.21794871794871784</v>
      </c>
      <c r="J60" s="164">
        <f t="shared" si="25"/>
        <v>85</v>
      </c>
      <c r="K60" s="166">
        <f t="shared" si="24"/>
        <v>2.3087874394186328E-4</v>
      </c>
    </row>
    <row r="61" spans="2:11" x14ac:dyDescent="0.25">
      <c r="B61" s="164" t="s">
        <v>130</v>
      </c>
      <c r="C61" s="165">
        <v>76</v>
      </c>
      <c r="D61" s="165">
        <v>29</v>
      </c>
      <c r="E61" s="165">
        <v>44</v>
      </c>
      <c r="F61" s="165">
        <v>151</v>
      </c>
      <c r="G61" s="165">
        <v>78</v>
      </c>
      <c r="H61" s="165">
        <v>164</v>
      </c>
      <c r="I61" s="180">
        <f t="shared" si="26"/>
        <v>1.1025641025641026</v>
      </c>
      <c r="J61" s="164">
        <f t="shared" si="25"/>
        <v>86</v>
      </c>
      <c r="K61" s="166">
        <f t="shared" si="24"/>
        <v>7.9713924224138059E-5</v>
      </c>
    </row>
    <row r="62" spans="2:11" x14ac:dyDescent="0.25">
      <c r="B62" s="164" t="s">
        <v>133</v>
      </c>
      <c r="C62" s="165">
        <v>105</v>
      </c>
      <c r="D62" s="165">
        <v>14</v>
      </c>
      <c r="E62" s="165">
        <v>89</v>
      </c>
      <c r="F62" s="165">
        <v>138</v>
      </c>
      <c r="G62" s="165">
        <v>84</v>
      </c>
      <c r="H62" s="165">
        <v>405</v>
      </c>
      <c r="I62" s="180">
        <f t="shared" si="26"/>
        <v>3.8214285714285712</v>
      </c>
      <c r="J62" s="164">
        <f t="shared" si="25"/>
        <v>321</v>
      </c>
      <c r="K62" s="166">
        <f t="shared" si="24"/>
        <v>1.9685450799253605E-4</v>
      </c>
    </row>
    <row r="63" spans="2:11" x14ac:dyDescent="0.25">
      <c r="B63" s="169" t="s">
        <v>147</v>
      </c>
      <c r="C63" s="170">
        <f t="shared" ref="C63" si="27">C55-SUM(C56:C62)</f>
        <v>2040</v>
      </c>
      <c r="D63" s="170">
        <f t="shared" ref="D63:H63" si="28">D55-SUM(D56:D62)</f>
        <v>1307</v>
      </c>
      <c r="E63" s="170">
        <f t="shared" si="28"/>
        <v>3918</v>
      </c>
      <c r="F63" s="170">
        <f t="shared" si="28"/>
        <v>5218</v>
      </c>
      <c r="G63" s="170">
        <f t="shared" si="28"/>
        <v>5279</v>
      </c>
      <c r="H63" s="170">
        <f t="shared" si="28"/>
        <v>4928</v>
      </c>
      <c r="I63" s="181">
        <f t="shared" si="26"/>
        <v>-6.6489865504830492E-2</v>
      </c>
      <c r="J63" s="169">
        <f>H63-G63</f>
        <v>-351</v>
      </c>
      <c r="K63" s="171">
        <f t="shared" si="24"/>
        <v>2.3953062108326363E-3</v>
      </c>
    </row>
    <row r="64" spans="2:11" x14ac:dyDescent="0.25">
      <c r="B64" s="156" t="s">
        <v>49</v>
      </c>
      <c r="C64" s="154"/>
      <c r="D64" s="154"/>
      <c r="E64" s="154"/>
      <c r="F64" s="154"/>
      <c r="G64" s="154"/>
      <c r="H64" s="154"/>
      <c r="I64" s="155"/>
      <c r="J64" s="155"/>
      <c r="K64" s="154"/>
    </row>
    <row r="65" spans="2:11" x14ac:dyDescent="0.25">
      <c r="B65" s="157" t="s">
        <v>70</v>
      </c>
      <c r="C65" s="177">
        <f t="shared" ref="C65:H65" si="29">C66+C69</f>
        <v>23335</v>
      </c>
      <c r="D65" s="177">
        <f t="shared" si="29"/>
        <v>16603</v>
      </c>
      <c r="E65" s="177">
        <f t="shared" si="29"/>
        <v>62155</v>
      </c>
      <c r="F65" s="177">
        <f t="shared" si="29"/>
        <v>82441</v>
      </c>
      <c r="G65" s="177">
        <f t="shared" si="29"/>
        <v>96861</v>
      </c>
      <c r="H65" s="177">
        <f t="shared" si="29"/>
        <v>75400</v>
      </c>
      <c r="I65" s="178">
        <f>IFERROR(H65/G65-1,"-")</f>
        <v>-0.22156492293079777</v>
      </c>
      <c r="J65" s="177">
        <f>H65-G65</f>
        <v>-21461</v>
      </c>
      <c r="K65" s="178">
        <f t="shared" ref="K65:K77" si="30">H65/H$9</f>
        <v>3.6648962722561032E-2</v>
      </c>
    </row>
    <row r="66" spans="2:11" x14ac:dyDescent="0.25">
      <c r="B66" s="160" t="s">
        <v>99</v>
      </c>
      <c r="C66" s="161">
        <v>5481</v>
      </c>
      <c r="D66" s="161">
        <v>8791</v>
      </c>
      <c r="E66" s="161">
        <v>14618</v>
      </c>
      <c r="F66" s="161">
        <v>14854</v>
      </c>
      <c r="G66" s="161">
        <v>27285</v>
      </c>
      <c r="H66" s="161">
        <v>18281</v>
      </c>
      <c r="I66" s="179">
        <f>IFERROR(H66/G66-1,"-")</f>
        <v>-0.32999816749129562</v>
      </c>
      <c r="J66" s="160">
        <f t="shared" ref="J66:J76" si="31">H66-G66</f>
        <v>-9004</v>
      </c>
      <c r="K66" s="162">
        <f t="shared" si="30"/>
        <v>8.8856722484235845E-3</v>
      </c>
    </row>
    <row r="67" spans="2:11" x14ac:dyDescent="0.25">
      <c r="B67" s="164" t="s">
        <v>105</v>
      </c>
      <c r="C67" s="165">
        <v>2199</v>
      </c>
      <c r="D67" s="165">
        <v>8533</v>
      </c>
      <c r="E67" s="165">
        <v>10990</v>
      </c>
      <c r="F67" s="165">
        <v>11125</v>
      </c>
      <c r="G67" s="165">
        <v>16363</v>
      </c>
      <c r="H67" s="165">
        <v>6550</v>
      </c>
      <c r="I67" s="180">
        <f>IFERROR(H67/G67-1,"-")</f>
        <v>-0.59970665525881561</v>
      </c>
      <c r="J67" s="164">
        <f t="shared" si="31"/>
        <v>-9813</v>
      </c>
      <c r="K67" s="166">
        <f t="shared" si="30"/>
        <v>3.1836963638299039E-3</v>
      </c>
    </row>
    <row r="68" spans="2:11" x14ac:dyDescent="0.25">
      <c r="B68" s="164" t="s">
        <v>102</v>
      </c>
      <c r="C68" s="165">
        <v>3282</v>
      </c>
      <c r="D68" s="165">
        <v>258</v>
      </c>
      <c r="E68" s="165">
        <v>3628</v>
      </c>
      <c r="F68" s="165">
        <v>3729</v>
      </c>
      <c r="G68" s="165">
        <v>10922</v>
      </c>
      <c r="H68" s="165">
        <v>11731</v>
      </c>
      <c r="I68" s="180">
        <f>IFERROR(H68/G68-1,"-")</f>
        <v>7.4070683025087014E-2</v>
      </c>
      <c r="J68" s="164">
        <f t="shared" si="31"/>
        <v>809</v>
      </c>
      <c r="K68" s="166">
        <f t="shared" si="30"/>
        <v>5.7019758845936802E-3</v>
      </c>
    </row>
    <row r="69" spans="2:11" x14ac:dyDescent="0.25">
      <c r="B69" s="160" t="s">
        <v>109</v>
      </c>
      <c r="C69" s="161">
        <v>17854</v>
      </c>
      <c r="D69" s="161">
        <v>7812</v>
      </c>
      <c r="E69" s="161">
        <v>47537</v>
      </c>
      <c r="F69" s="161">
        <v>67587</v>
      </c>
      <c r="G69" s="161">
        <v>69576</v>
      </c>
      <c r="H69" s="161">
        <v>57119</v>
      </c>
      <c r="I69" s="179">
        <f>IFERROR(H69/G69-1,"-")</f>
        <v>-0.17904162354834996</v>
      </c>
      <c r="J69" s="160">
        <f t="shared" si="31"/>
        <v>-12457</v>
      </c>
      <c r="K69" s="162">
        <f t="shared" si="30"/>
        <v>2.7763290474137448E-2</v>
      </c>
    </row>
    <row r="70" spans="2:11" x14ac:dyDescent="0.25">
      <c r="B70" s="164" t="s">
        <v>112</v>
      </c>
      <c r="C70" s="165">
        <v>7112</v>
      </c>
      <c r="D70" s="165">
        <v>869</v>
      </c>
      <c r="E70" s="165">
        <v>18994</v>
      </c>
      <c r="F70" s="165">
        <v>23900</v>
      </c>
      <c r="G70" s="165">
        <v>21936</v>
      </c>
      <c r="H70" s="165">
        <v>24121</v>
      </c>
      <c r="I70" s="180">
        <f t="shared" ref="I70:I77" si="32">IFERROR(H70/G70-1,"-")</f>
        <v>9.96079504011671E-2</v>
      </c>
      <c r="J70" s="164">
        <f t="shared" si="31"/>
        <v>2185</v>
      </c>
      <c r="K70" s="166">
        <f t="shared" si="30"/>
        <v>1.1724265647624597E-2</v>
      </c>
    </row>
    <row r="71" spans="2:11" x14ac:dyDescent="0.25">
      <c r="B71" s="164" t="s">
        <v>115</v>
      </c>
      <c r="C71" s="165">
        <v>2067</v>
      </c>
      <c r="D71" s="165">
        <v>1195</v>
      </c>
      <c r="E71" s="165">
        <v>5107</v>
      </c>
      <c r="F71" s="165">
        <v>5122</v>
      </c>
      <c r="G71" s="165">
        <v>5111</v>
      </c>
      <c r="H71" s="165">
        <v>5483</v>
      </c>
      <c r="I71" s="180">
        <f t="shared" si="32"/>
        <v>7.2784190960673012E-2</v>
      </c>
      <c r="J71" s="164">
        <f t="shared" si="31"/>
        <v>372</v>
      </c>
      <c r="K71" s="166">
        <f t="shared" si="30"/>
        <v>2.6650697958594447E-3</v>
      </c>
    </row>
    <row r="72" spans="2:11" x14ac:dyDescent="0.25">
      <c r="B72" s="164" t="s">
        <v>118</v>
      </c>
      <c r="C72" s="165">
        <v>2431</v>
      </c>
      <c r="D72" s="165">
        <v>1158</v>
      </c>
      <c r="E72" s="165">
        <v>6745</v>
      </c>
      <c r="F72" s="165">
        <v>8527</v>
      </c>
      <c r="G72" s="165">
        <v>10065</v>
      </c>
      <c r="H72" s="165">
        <v>5029</v>
      </c>
      <c r="I72" s="180">
        <f t="shared" si="32"/>
        <v>-0.50034773969200197</v>
      </c>
      <c r="J72" s="164">
        <f t="shared" si="31"/>
        <v>-5036</v>
      </c>
      <c r="K72" s="166">
        <f t="shared" si="30"/>
        <v>2.44439832270238E-3</v>
      </c>
    </row>
    <row r="73" spans="2:11" x14ac:dyDescent="0.25">
      <c r="B73" s="164" t="s">
        <v>125</v>
      </c>
      <c r="C73" s="165">
        <v>204</v>
      </c>
      <c r="D73" s="165">
        <v>415</v>
      </c>
      <c r="E73" s="165">
        <v>787</v>
      </c>
      <c r="F73" s="165">
        <v>1669</v>
      </c>
      <c r="G73" s="165">
        <v>2367</v>
      </c>
      <c r="H73" s="165">
        <v>1356</v>
      </c>
      <c r="I73" s="180">
        <f t="shared" si="32"/>
        <v>-0.42712294043092525</v>
      </c>
      <c r="J73" s="164">
        <f t="shared" si="31"/>
        <v>-1011</v>
      </c>
      <c r="K73" s="166">
        <f t="shared" si="30"/>
        <v>6.5909805638982445E-4</v>
      </c>
    </row>
    <row r="74" spans="2:11" x14ac:dyDescent="0.25">
      <c r="B74" s="164" t="s">
        <v>121</v>
      </c>
      <c r="C74" s="165">
        <v>442</v>
      </c>
      <c r="D74" s="165">
        <v>413</v>
      </c>
      <c r="E74" s="165">
        <v>1343</v>
      </c>
      <c r="F74" s="165">
        <v>1273</v>
      </c>
      <c r="G74" s="165">
        <v>1710</v>
      </c>
      <c r="H74" s="165">
        <v>1550</v>
      </c>
      <c r="I74" s="180">
        <f t="shared" si="32"/>
        <v>-9.3567251461988299E-2</v>
      </c>
      <c r="J74" s="164">
        <f t="shared" si="31"/>
        <v>-160</v>
      </c>
      <c r="K74" s="166">
        <f t="shared" si="30"/>
        <v>7.5339379602081696E-4</v>
      </c>
    </row>
    <row r="75" spans="2:11" x14ac:dyDescent="0.25">
      <c r="B75" s="164" t="s">
        <v>130</v>
      </c>
      <c r="C75" s="165">
        <v>634</v>
      </c>
      <c r="D75" s="165">
        <v>0</v>
      </c>
      <c r="E75" s="165">
        <v>878</v>
      </c>
      <c r="F75" s="165">
        <v>3180</v>
      </c>
      <c r="G75" s="165">
        <v>1641</v>
      </c>
      <c r="H75" s="165">
        <v>810</v>
      </c>
      <c r="I75" s="180">
        <f t="shared" si="32"/>
        <v>-0.50639853747714803</v>
      </c>
      <c r="J75" s="164">
        <f t="shared" si="31"/>
        <v>-831</v>
      </c>
      <c r="K75" s="166">
        <f t="shared" si="30"/>
        <v>3.9370901598507211E-4</v>
      </c>
    </row>
    <row r="76" spans="2:11" x14ac:dyDescent="0.25">
      <c r="B76" s="164" t="s">
        <v>133</v>
      </c>
      <c r="C76" s="165">
        <v>773</v>
      </c>
      <c r="D76" s="165">
        <v>0</v>
      </c>
      <c r="E76" s="165">
        <v>278</v>
      </c>
      <c r="F76" s="165">
        <v>906</v>
      </c>
      <c r="G76" s="165">
        <v>203</v>
      </c>
      <c r="H76" s="165">
        <v>521</v>
      </c>
      <c r="I76" s="180">
        <f t="shared" si="32"/>
        <v>1.5665024630541873</v>
      </c>
      <c r="J76" s="164">
        <f t="shared" si="31"/>
        <v>318</v>
      </c>
      <c r="K76" s="166">
        <f t="shared" si="30"/>
        <v>2.532375275657069E-4</v>
      </c>
    </row>
    <row r="77" spans="2:11" x14ac:dyDescent="0.25">
      <c r="B77" s="169" t="s">
        <v>147</v>
      </c>
      <c r="C77" s="170">
        <f t="shared" ref="C77" si="33">C69-SUM(C70:C76)</f>
        <v>4191</v>
      </c>
      <c r="D77" s="170">
        <f t="shared" ref="D77:H77" si="34">D69-SUM(D70:D76)</f>
        <v>3762</v>
      </c>
      <c r="E77" s="170">
        <f t="shared" si="34"/>
        <v>13405</v>
      </c>
      <c r="F77" s="170">
        <f t="shared" si="34"/>
        <v>23010</v>
      </c>
      <c r="G77" s="170">
        <f t="shared" si="34"/>
        <v>26543</v>
      </c>
      <c r="H77" s="170">
        <f t="shared" si="34"/>
        <v>18249</v>
      </c>
      <c r="I77" s="181">
        <f t="shared" si="32"/>
        <v>-0.31247409863240783</v>
      </c>
      <c r="J77" s="169">
        <f>H77-G77</f>
        <v>-8294</v>
      </c>
      <c r="K77" s="171">
        <f t="shared" si="30"/>
        <v>8.8701183119896058E-3</v>
      </c>
    </row>
    <row r="78" spans="2:11" x14ac:dyDescent="0.25">
      <c r="B78" s="156" t="s">
        <v>50</v>
      </c>
      <c r="C78" s="154"/>
      <c r="D78" s="154"/>
      <c r="E78" s="154"/>
      <c r="F78" s="154"/>
      <c r="G78" s="154"/>
      <c r="H78" s="154"/>
      <c r="I78" s="155"/>
      <c r="J78" s="155"/>
      <c r="K78" s="154"/>
    </row>
    <row r="79" spans="2:11" x14ac:dyDescent="0.25">
      <c r="B79" s="157" t="s">
        <v>70</v>
      </c>
      <c r="C79" s="177">
        <f t="shared" ref="C79:H79" si="35">C80+C83</f>
        <v>116219</v>
      </c>
      <c r="D79" s="177">
        <f t="shared" si="35"/>
        <v>51204</v>
      </c>
      <c r="E79" s="177">
        <f t="shared" si="35"/>
        <v>261325</v>
      </c>
      <c r="F79" s="177">
        <f t="shared" si="35"/>
        <v>306518</v>
      </c>
      <c r="G79" s="177">
        <f t="shared" si="35"/>
        <v>353422</v>
      </c>
      <c r="H79" s="177">
        <f t="shared" si="35"/>
        <v>351603</v>
      </c>
      <c r="I79" s="178">
        <f>IFERROR(H79/G79-1,"-")</f>
        <v>-5.1468216466433736E-3</v>
      </c>
      <c r="J79" s="177">
        <f>H79-G79</f>
        <v>-1819</v>
      </c>
      <c r="K79" s="178">
        <f t="shared" ref="K79:K91" si="36">H79/H$9</f>
        <v>0.17090033474987568</v>
      </c>
    </row>
    <row r="80" spans="2:11" x14ac:dyDescent="0.25">
      <c r="B80" s="160" t="s">
        <v>99</v>
      </c>
      <c r="C80" s="161">
        <v>40712</v>
      </c>
      <c r="D80" s="161">
        <v>28768</v>
      </c>
      <c r="E80" s="161">
        <v>126313</v>
      </c>
      <c r="F80" s="161">
        <v>135317</v>
      </c>
      <c r="G80" s="161">
        <v>140222</v>
      </c>
      <c r="H80" s="161">
        <v>140453</v>
      </c>
      <c r="I80" s="179">
        <f>IFERROR(H80/G80-1,"-")</f>
        <v>1.6473877137681558E-3</v>
      </c>
      <c r="J80" s="160">
        <f t="shared" ref="J80:J90" si="37">H80-G80</f>
        <v>231</v>
      </c>
      <c r="K80" s="162">
        <f t="shared" si="36"/>
        <v>6.8268657311297942E-2</v>
      </c>
    </row>
    <row r="81" spans="2:11" x14ac:dyDescent="0.25">
      <c r="B81" s="164" t="s">
        <v>105</v>
      </c>
      <c r="C81" s="165">
        <v>6804</v>
      </c>
      <c r="D81" s="165">
        <v>11711</v>
      </c>
      <c r="E81" s="165">
        <v>29255</v>
      </c>
      <c r="F81" s="165">
        <v>26951</v>
      </c>
      <c r="G81" s="165">
        <v>34210</v>
      </c>
      <c r="H81" s="165">
        <v>28649</v>
      </c>
      <c r="I81" s="180">
        <f>IFERROR(H81/G81-1,"-")</f>
        <v>-0.16255480853551596</v>
      </c>
      <c r="J81" s="164">
        <f t="shared" si="37"/>
        <v>-5561</v>
      </c>
      <c r="K81" s="166">
        <f t="shared" si="36"/>
        <v>1.3925147653032507E-2</v>
      </c>
    </row>
    <row r="82" spans="2:11" x14ac:dyDescent="0.25">
      <c r="B82" s="164" t="s">
        <v>102</v>
      </c>
      <c r="C82" s="165">
        <v>33908</v>
      </c>
      <c r="D82" s="165">
        <v>17057</v>
      </c>
      <c r="E82" s="165">
        <v>97058</v>
      </c>
      <c r="F82" s="165">
        <v>108366</v>
      </c>
      <c r="G82" s="165">
        <v>106012</v>
      </c>
      <c r="H82" s="165">
        <v>111804</v>
      </c>
      <c r="I82" s="180">
        <f>IFERROR(H82/G82-1,"-")</f>
        <v>5.4635324302909183E-2</v>
      </c>
      <c r="J82" s="164">
        <f t="shared" si="37"/>
        <v>5792</v>
      </c>
      <c r="K82" s="166">
        <f t="shared" si="36"/>
        <v>5.4343509658265433E-2</v>
      </c>
    </row>
    <row r="83" spans="2:11" x14ac:dyDescent="0.25">
      <c r="B83" s="160" t="s">
        <v>109</v>
      </c>
      <c r="C83" s="161">
        <v>75507</v>
      </c>
      <c r="D83" s="161">
        <v>22436</v>
      </c>
      <c r="E83" s="161">
        <v>135012</v>
      </c>
      <c r="F83" s="161">
        <v>171201</v>
      </c>
      <c r="G83" s="161">
        <v>213200</v>
      </c>
      <c r="H83" s="161">
        <v>211150</v>
      </c>
      <c r="I83" s="179">
        <f>IFERROR(H83/G83-1,"-")</f>
        <v>-9.6153846153845812E-3</v>
      </c>
      <c r="J83" s="160">
        <f t="shared" si="37"/>
        <v>-2050</v>
      </c>
      <c r="K83" s="162">
        <f t="shared" si="36"/>
        <v>0.10263167743857775</v>
      </c>
    </row>
    <row r="84" spans="2:11" x14ac:dyDescent="0.25">
      <c r="B84" s="164" t="s">
        <v>112</v>
      </c>
      <c r="C84" s="165">
        <v>14988</v>
      </c>
      <c r="D84" s="165">
        <v>1739</v>
      </c>
      <c r="E84" s="165">
        <v>25869</v>
      </c>
      <c r="F84" s="165">
        <v>35236</v>
      </c>
      <c r="G84" s="165">
        <v>44273</v>
      </c>
      <c r="H84" s="165">
        <v>45270</v>
      </c>
      <c r="I84" s="180">
        <f t="shared" ref="I84:I91" si="38">IFERROR(H84/G84-1,"-")</f>
        <v>2.2519368463849387E-2</v>
      </c>
      <c r="J84" s="164">
        <f t="shared" si="37"/>
        <v>997</v>
      </c>
      <c r="K84" s="166">
        <f t="shared" si="36"/>
        <v>2.2003959448943476E-2</v>
      </c>
    </row>
    <row r="85" spans="2:11" x14ac:dyDescent="0.25">
      <c r="B85" s="164" t="s">
        <v>115</v>
      </c>
      <c r="C85" s="165">
        <v>28410</v>
      </c>
      <c r="D85" s="165">
        <v>4591</v>
      </c>
      <c r="E85" s="165">
        <v>45618</v>
      </c>
      <c r="F85" s="165">
        <v>56194</v>
      </c>
      <c r="G85" s="165">
        <v>64305</v>
      </c>
      <c r="H85" s="165">
        <v>61882</v>
      </c>
      <c r="I85" s="180">
        <f t="shared" si="38"/>
        <v>-3.7679807168960466E-2</v>
      </c>
      <c r="J85" s="164">
        <f t="shared" si="37"/>
        <v>-2423</v>
      </c>
      <c r="K85" s="166">
        <f t="shared" si="36"/>
        <v>3.0078396700232386E-2</v>
      </c>
    </row>
    <row r="86" spans="2:11" x14ac:dyDescent="0.25">
      <c r="B86" s="164" t="s">
        <v>118</v>
      </c>
      <c r="C86" s="165">
        <v>5054</v>
      </c>
      <c r="D86" s="165">
        <v>4527</v>
      </c>
      <c r="E86" s="165">
        <v>13053</v>
      </c>
      <c r="F86" s="165">
        <v>17101</v>
      </c>
      <c r="G86" s="165">
        <v>26155</v>
      </c>
      <c r="H86" s="165">
        <v>23341</v>
      </c>
      <c r="I86" s="180">
        <f t="shared" si="38"/>
        <v>-0.10758937105715927</v>
      </c>
      <c r="J86" s="164">
        <f t="shared" si="37"/>
        <v>-2814</v>
      </c>
      <c r="K86" s="166">
        <f t="shared" si="36"/>
        <v>1.134513844704638E-2</v>
      </c>
    </row>
    <row r="87" spans="2:11" x14ac:dyDescent="0.25">
      <c r="B87" s="164" t="s">
        <v>125</v>
      </c>
      <c r="C87" s="165">
        <v>1174</v>
      </c>
      <c r="D87" s="165">
        <v>317</v>
      </c>
      <c r="E87" s="165">
        <v>2872</v>
      </c>
      <c r="F87" s="165">
        <v>2743</v>
      </c>
      <c r="G87" s="165">
        <v>4984</v>
      </c>
      <c r="H87" s="165">
        <v>5561</v>
      </c>
      <c r="I87" s="180">
        <f t="shared" si="38"/>
        <v>0.1157704654895666</v>
      </c>
      <c r="J87" s="164">
        <f t="shared" si="37"/>
        <v>577</v>
      </c>
      <c r="K87" s="166">
        <f t="shared" si="36"/>
        <v>2.7029825159172668E-3</v>
      </c>
    </row>
    <row r="88" spans="2:11" x14ac:dyDescent="0.25">
      <c r="B88" s="164" t="s">
        <v>121</v>
      </c>
      <c r="C88" s="165">
        <v>993</v>
      </c>
      <c r="D88" s="165">
        <v>578</v>
      </c>
      <c r="E88" s="165">
        <v>2521</v>
      </c>
      <c r="F88" s="165">
        <v>2444</v>
      </c>
      <c r="G88" s="165">
        <v>3231</v>
      </c>
      <c r="H88" s="165">
        <v>3401</v>
      </c>
      <c r="I88" s="180">
        <f t="shared" si="38"/>
        <v>5.2615289384091657E-2</v>
      </c>
      <c r="J88" s="164">
        <f t="shared" si="37"/>
        <v>170</v>
      </c>
      <c r="K88" s="166">
        <f t="shared" si="36"/>
        <v>1.6530918066237411E-3</v>
      </c>
    </row>
    <row r="89" spans="2:11" x14ac:dyDescent="0.25">
      <c r="B89" s="164" t="s">
        <v>130</v>
      </c>
      <c r="C89" s="165">
        <v>1688</v>
      </c>
      <c r="D89" s="165">
        <v>51</v>
      </c>
      <c r="E89" s="165">
        <v>1683</v>
      </c>
      <c r="F89" s="165">
        <v>2431</v>
      </c>
      <c r="G89" s="165">
        <v>2391</v>
      </c>
      <c r="H89" s="165">
        <v>2487</v>
      </c>
      <c r="I89" s="180">
        <f t="shared" si="38"/>
        <v>4.0150564617315032E-2</v>
      </c>
      <c r="J89" s="164">
        <f t="shared" si="37"/>
        <v>96</v>
      </c>
      <c r="K89" s="166">
        <f t="shared" si="36"/>
        <v>1.2088324972282399E-3</v>
      </c>
    </row>
    <row r="90" spans="2:11" x14ac:dyDescent="0.25">
      <c r="B90" s="164" t="s">
        <v>133</v>
      </c>
      <c r="C90" s="165">
        <v>2253</v>
      </c>
      <c r="D90" s="165">
        <v>200</v>
      </c>
      <c r="E90" s="165">
        <v>1415</v>
      </c>
      <c r="F90" s="165">
        <v>2449</v>
      </c>
      <c r="G90" s="165">
        <v>2913</v>
      </c>
      <c r="H90" s="165">
        <v>2058</v>
      </c>
      <c r="I90" s="180">
        <f t="shared" si="38"/>
        <v>-0.2935118434603502</v>
      </c>
      <c r="J90" s="164">
        <f t="shared" si="37"/>
        <v>-855</v>
      </c>
      <c r="K90" s="166">
        <f t="shared" si="36"/>
        <v>1.0003125369102202E-3</v>
      </c>
    </row>
    <row r="91" spans="2:11" x14ac:dyDescent="0.25">
      <c r="B91" s="169" t="s">
        <v>147</v>
      </c>
      <c r="C91" s="170">
        <f t="shared" ref="C91" si="39">C83-SUM(C84:C90)</f>
        <v>20947</v>
      </c>
      <c r="D91" s="170">
        <f t="shared" ref="D91:H91" si="40">D83-SUM(D84:D90)</f>
        <v>10433</v>
      </c>
      <c r="E91" s="170">
        <f t="shared" si="40"/>
        <v>41981</v>
      </c>
      <c r="F91" s="170">
        <f t="shared" si="40"/>
        <v>52603</v>
      </c>
      <c r="G91" s="170">
        <f t="shared" si="40"/>
        <v>64948</v>
      </c>
      <c r="H91" s="170">
        <f t="shared" si="40"/>
        <v>67150</v>
      </c>
      <c r="I91" s="181">
        <f t="shared" si="38"/>
        <v>3.3904046313974145E-2</v>
      </c>
      <c r="J91" s="169">
        <f>H91-G91</f>
        <v>2202</v>
      </c>
      <c r="K91" s="171">
        <f t="shared" si="36"/>
        <v>3.2638963485676041E-2</v>
      </c>
    </row>
    <row r="92" spans="2:11" x14ac:dyDescent="0.25">
      <c r="B92" s="156" t="s">
        <v>51</v>
      </c>
      <c r="C92" s="154"/>
      <c r="D92" s="154"/>
      <c r="E92" s="154"/>
      <c r="F92" s="154"/>
      <c r="G92" s="154"/>
      <c r="H92" s="154"/>
      <c r="I92" s="155"/>
      <c r="J92" s="155"/>
      <c r="K92" s="154"/>
    </row>
    <row r="93" spans="2:11" x14ac:dyDescent="0.25">
      <c r="B93" s="157" t="s">
        <v>70</v>
      </c>
      <c r="C93" s="177">
        <f t="shared" ref="C93:H93" si="41">C94+C97</f>
        <v>12754</v>
      </c>
      <c r="D93" s="177">
        <f t="shared" si="41"/>
        <v>11802</v>
      </c>
      <c r="E93" s="177">
        <f t="shared" si="41"/>
        <v>24671</v>
      </c>
      <c r="F93" s="177">
        <f t="shared" si="41"/>
        <v>30683</v>
      </c>
      <c r="G93" s="177">
        <f t="shared" si="41"/>
        <v>29198</v>
      </c>
      <c r="H93" s="177">
        <f t="shared" si="41"/>
        <v>28272</v>
      </c>
      <c r="I93" s="178">
        <f>IFERROR(H93/G93-1,"-")</f>
        <v>-3.1714500993218708E-2</v>
      </c>
      <c r="J93" s="177">
        <f>H93-G93</f>
        <v>-926</v>
      </c>
      <c r="K93" s="178">
        <f t="shared" ref="K93:K105" si="42">H93/H$9</f>
        <v>1.3741902839419702E-2</v>
      </c>
    </row>
    <row r="94" spans="2:11" x14ac:dyDescent="0.25">
      <c r="B94" s="160" t="s">
        <v>99</v>
      </c>
      <c r="C94" s="161">
        <v>7454</v>
      </c>
      <c r="D94" s="161">
        <v>7418</v>
      </c>
      <c r="E94" s="161">
        <v>15383</v>
      </c>
      <c r="F94" s="161">
        <v>19920</v>
      </c>
      <c r="G94" s="161">
        <v>16896</v>
      </c>
      <c r="H94" s="161">
        <v>16644</v>
      </c>
      <c r="I94" s="179">
        <f>IFERROR(H94/G94-1,"-")</f>
        <v>-1.4914772727272707E-2</v>
      </c>
      <c r="J94" s="160">
        <f t="shared" ref="J94:J104" si="43">H94-G94</f>
        <v>-252</v>
      </c>
      <c r="K94" s="162">
        <f t="shared" si="42"/>
        <v>8.0899911877228888E-3</v>
      </c>
    </row>
    <row r="95" spans="2:11" x14ac:dyDescent="0.25">
      <c r="B95" s="164" t="s">
        <v>105</v>
      </c>
      <c r="C95" s="165">
        <v>4239</v>
      </c>
      <c r="D95" s="165">
        <v>4253</v>
      </c>
      <c r="E95" s="165">
        <v>7500</v>
      </c>
      <c r="F95" s="165">
        <v>5955</v>
      </c>
      <c r="G95" s="165">
        <v>4664</v>
      </c>
      <c r="H95" s="165">
        <v>5394</v>
      </c>
      <c r="I95" s="180">
        <f>IFERROR(H95/G95-1,"-")</f>
        <v>0.15651801029159529</v>
      </c>
      <c r="J95" s="164">
        <f t="shared" si="43"/>
        <v>730</v>
      </c>
      <c r="K95" s="166">
        <f t="shared" si="42"/>
        <v>2.6218104101524433E-3</v>
      </c>
    </row>
    <row r="96" spans="2:11" x14ac:dyDescent="0.25">
      <c r="B96" s="164" t="s">
        <v>102</v>
      </c>
      <c r="C96" s="165">
        <v>3215</v>
      </c>
      <c r="D96" s="165">
        <v>3165</v>
      </c>
      <c r="E96" s="165">
        <v>7883</v>
      </c>
      <c r="F96" s="165">
        <v>13965</v>
      </c>
      <c r="G96" s="165">
        <v>12232</v>
      </c>
      <c r="H96" s="165">
        <v>11250</v>
      </c>
      <c r="I96" s="180">
        <f>IFERROR(H96/G96-1,"-")</f>
        <v>-8.0281229561805056E-2</v>
      </c>
      <c r="J96" s="164">
        <f t="shared" si="43"/>
        <v>-982</v>
      </c>
      <c r="K96" s="166">
        <f t="shared" si="42"/>
        <v>5.468180777570446E-3</v>
      </c>
    </row>
    <row r="97" spans="2:11" x14ac:dyDescent="0.25">
      <c r="B97" s="160" t="s">
        <v>109</v>
      </c>
      <c r="C97" s="161">
        <v>5300</v>
      </c>
      <c r="D97" s="161">
        <v>4384</v>
      </c>
      <c r="E97" s="161">
        <v>9288</v>
      </c>
      <c r="F97" s="161">
        <v>10763</v>
      </c>
      <c r="G97" s="161">
        <v>12302</v>
      </c>
      <c r="H97" s="161">
        <v>11628</v>
      </c>
      <c r="I97" s="179">
        <f>IFERROR(H97/G97-1,"-")</f>
        <v>-5.47878393757113E-2</v>
      </c>
      <c r="J97" s="160">
        <f t="shared" si="43"/>
        <v>-674</v>
      </c>
      <c r="K97" s="162">
        <f t="shared" si="42"/>
        <v>5.6519116516968127E-3</v>
      </c>
    </row>
    <row r="98" spans="2:11" x14ac:dyDescent="0.25">
      <c r="B98" s="164" t="s">
        <v>112</v>
      </c>
      <c r="C98" s="165">
        <v>994</v>
      </c>
      <c r="D98" s="165">
        <v>145</v>
      </c>
      <c r="E98" s="165">
        <v>1307</v>
      </c>
      <c r="F98" s="165">
        <v>1561</v>
      </c>
      <c r="G98" s="165">
        <v>1845</v>
      </c>
      <c r="H98" s="165">
        <v>1552</v>
      </c>
      <c r="I98" s="180">
        <f t="shared" ref="I98:I105" si="44">IFERROR(H98/G98-1,"-")</f>
        <v>-0.1588075880758808</v>
      </c>
      <c r="J98" s="164">
        <f t="shared" si="43"/>
        <v>-293</v>
      </c>
      <c r="K98" s="166">
        <f t="shared" si="42"/>
        <v>7.5436591704794063E-4</v>
      </c>
    </row>
    <row r="99" spans="2:11" x14ac:dyDescent="0.25">
      <c r="B99" s="164" t="s">
        <v>115</v>
      </c>
      <c r="C99" s="165">
        <v>1071</v>
      </c>
      <c r="D99" s="165">
        <v>659</v>
      </c>
      <c r="E99" s="165">
        <v>1843</v>
      </c>
      <c r="F99" s="165">
        <v>2024</v>
      </c>
      <c r="G99" s="165">
        <v>2489</v>
      </c>
      <c r="H99" s="165">
        <v>2173</v>
      </c>
      <c r="I99" s="180">
        <f t="shared" si="44"/>
        <v>-0.12695861791884289</v>
      </c>
      <c r="J99" s="164">
        <f t="shared" si="43"/>
        <v>-316</v>
      </c>
      <c r="K99" s="166">
        <f t="shared" si="42"/>
        <v>1.0562094959698292E-3</v>
      </c>
    </row>
    <row r="100" spans="2:11" x14ac:dyDescent="0.25">
      <c r="B100" s="164" t="s">
        <v>118</v>
      </c>
      <c r="C100" s="165">
        <v>1161</v>
      </c>
      <c r="D100" s="165">
        <v>1852</v>
      </c>
      <c r="E100" s="165">
        <v>1779</v>
      </c>
      <c r="F100" s="165">
        <v>2117</v>
      </c>
      <c r="G100" s="165">
        <v>2082</v>
      </c>
      <c r="H100" s="165">
        <v>2030</v>
      </c>
      <c r="I100" s="180">
        <f t="shared" si="44"/>
        <v>-2.4975984630163262E-2</v>
      </c>
      <c r="J100" s="164">
        <f t="shared" si="43"/>
        <v>-52</v>
      </c>
      <c r="K100" s="166">
        <f t="shared" si="42"/>
        <v>9.8670284253048928E-4</v>
      </c>
    </row>
    <row r="101" spans="2:11" x14ac:dyDescent="0.25">
      <c r="B101" s="164" t="s">
        <v>125</v>
      </c>
      <c r="C101" s="165">
        <v>265</v>
      </c>
      <c r="D101" s="165">
        <v>84</v>
      </c>
      <c r="E101" s="165">
        <v>672</v>
      </c>
      <c r="F101" s="165">
        <v>531</v>
      </c>
      <c r="G101" s="165">
        <v>598</v>
      </c>
      <c r="H101" s="165">
        <v>576</v>
      </c>
      <c r="I101" s="180">
        <f t="shared" si="44"/>
        <v>-3.6789297658862852E-2</v>
      </c>
      <c r="J101" s="164">
        <f t="shared" si="43"/>
        <v>-22</v>
      </c>
      <c r="K101" s="166">
        <f t="shared" si="42"/>
        <v>2.7997085581160685E-4</v>
      </c>
    </row>
    <row r="102" spans="2:11" x14ac:dyDescent="0.25">
      <c r="B102" s="164" t="s">
        <v>121</v>
      </c>
      <c r="C102" s="165">
        <v>132</v>
      </c>
      <c r="D102" s="165">
        <v>154</v>
      </c>
      <c r="E102" s="165">
        <v>373</v>
      </c>
      <c r="F102" s="165">
        <v>293</v>
      </c>
      <c r="G102" s="165">
        <v>514</v>
      </c>
      <c r="H102" s="165">
        <v>484</v>
      </c>
      <c r="I102" s="180">
        <f t="shared" si="44"/>
        <v>-5.8365758754863828E-2</v>
      </c>
      <c r="J102" s="164">
        <f t="shared" si="43"/>
        <v>-30</v>
      </c>
      <c r="K102" s="166">
        <f t="shared" si="42"/>
        <v>2.3525328856391963E-4</v>
      </c>
    </row>
    <row r="103" spans="2:11" x14ac:dyDescent="0.25">
      <c r="B103" s="164" t="s">
        <v>130</v>
      </c>
      <c r="C103" s="165">
        <v>112</v>
      </c>
      <c r="D103" s="165">
        <v>17</v>
      </c>
      <c r="E103" s="165">
        <v>182</v>
      </c>
      <c r="F103" s="165">
        <v>87</v>
      </c>
      <c r="G103" s="165">
        <v>151</v>
      </c>
      <c r="H103" s="165">
        <v>128</v>
      </c>
      <c r="I103" s="180">
        <f t="shared" si="44"/>
        <v>-0.15231788079470199</v>
      </c>
      <c r="J103" s="164">
        <f t="shared" si="43"/>
        <v>-23</v>
      </c>
      <c r="K103" s="166">
        <f t="shared" si="42"/>
        <v>6.2215745735912624E-5</v>
      </c>
    </row>
    <row r="104" spans="2:11" x14ac:dyDescent="0.25">
      <c r="B104" s="164" t="s">
        <v>133</v>
      </c>
      <c r="C104" s="165">
        <v>61</v>
      </c>
      <c r="D104" s="165">
        <v>42</v>
      </c>
      <c r="E104" s="165">
        <v>99</v>
      </c>
      <c r="F104" s="165">
        <v>155</v>
      </c>
      <c r="G104" s="165">
        <v>265</v>
      </c>
      <c r="H104" s="165">
        <v>143</v>
      </c>
      <c r="I104" s="180">
        <f t="shared" si="44"/>
        <v>-0.46037735849056605</v>
      </c>
      <c r="J104" s="164">
        <f t="shared" si="43"/>
        <v>-122</v>
      </c>
      <c r="K104" s="166">
        <f t="shared" si="42"/>
        <v>6.9506653439339891E-5</v>
      </c>
    </row>
    <row r="105" spans="2:11" x14ac:dyDescent="0.25">
      <c r="B105" s="169" t="s">
        <v>147</v>
      </c>
      <c r="C105" s="170">
        <f t="shared" ref="C105" si="45">C97-SUM(C98:C104)</f>
        <v>1504</v>
      </c>
      <c r="D105" s="170">
        <f t="shared" ref="D105:H105" si="46">D97-SUM(D98:D104)</f>
        <v>1431</v>
      </c>
      <c r="E105" s="170">
        <f t="shared" si="46"/>
        <v>3033</v>
      </c>
      <c r="F105" s="170">
        <f t="shared" si="46"/>
        <v>3995</v>
      </c>
      <c r="G105" s="170">
        <f t="shared" si="46"/>
        <v>4358</v>
      </c>
      <c r="H105" s="170">
        <f t="shared" si="46"/>
        <v>4542</v>
      </c>
      <c r="I105" s="181">
        <f t="shared" si="44"/>
        <v>4.222120238641569E-2</v>
      </c>
      <c r="J105" s="169">
        <f>H105-G105</f>
        <v>184</v>
      </c>
      <c r="K105" s="171">
        <f t="shared" si="42"/>
        <v>2.2076868525977749E-3</v>
      </c>
    </row>
    <row r="106" spans="2:11" x14ac:dyDescent="0.25">
      <c r="B106" s="156" t="s">
        <v>52</v>
      </c>
      <c r="C106" s="154"/>
      <c r="D106" s="154"/>
      <c r="E106" s="154"/>
      <c r="F106" s="154"/>
      <c r="G106" s="154"/>
      <c r="H106" s="154"/>
      <c r="I106" s="155"/>
      <c r="J106" s="155"/>
      <c r="K106" s="154"/>
    </row>
    <row r="107" spans="2:11" x14ac:dyDescent="0.25">
      <c r="B107" s="157" t="s">
        <v>70</v>
      </c>
      <c r="C107" s="177">
        <f t="shared" ref="C107:H107" si="47">C108+C111</f>
        <v>22627</v>
      </c>
      <c r="D107" s="177">
        <f t="shared" si="47"/>
        <v>30374</v>
      </c>
      <c r="E107" s="177">
        <f t="shared" si="47"/>
        <v>79606</v>
      </c>
      <c r="F107" s="177">
        <f t="shared" si="47"/>
        <v>111862</v>
      </c>
      <c r="G107" s="177">
        <f t="shared" si="47"/>
        <v>103725</v>
      </c>
      <c r="H107" s="177">
        <f t="shared" si="47"/>
        <v>112596</v>
      </c>
      <c r="I107" s="178">
        <f>IFERROR(H107/G107-1,"-")</f>
        <v>8.5524222704266073E-2</v>
      </c>
      <c r="J107" s="177">
        <f>H107-G107</f>
        <v>8871</v>
      </c>
      <c r="K107" s="178">
        <f t="shared" ref="K107:K119" si="48">H107/H$9</f>
        <v>5.4728469585006392E-2</v>
      </c>
    </row>
    <row r="108" spans="2:11" x14ac:dyDescent="0.25">
      <c r="B108" s="160" t="s">
        <v>99</v>
      </c>
      <c r="C108" s="161">
        <v>5441</v>
      </c>
      <c r="D108" s="161">
        <v>18405</v>
      </c>
      <c r="E108" s="161">
        <v>16402</v>
      </c>
      <c r="F108" s="161">
        <v>21854</v>
      </c>
      <c r="G108" s="161">
        <v>20614</v>
      </c>
      <c r="H108" s="161">
        <v>22311</v>
      </c>
      <c r="I108" s="179">
        <f>IFERROR(H108/G108-1,"-")</f>
        <v>8.2322693315222573E-2</v>
      </c>
      <c r="J108" s="160">
        <f t="shared" ref="J108:J118" si="49">H108-G108</f>
        <v>1697</v>
      </c>
      <c r="K108" s="162">
        <f t="shared" si="48"/>
        <v>1.0844496118077708E-2</v>
      </c>
    </row>
    <row r="109" spans="2:11" x14ac:dyDescent="0.25">
      <c r="B109" s="164" t="s">
        <v>105</v>
      </c>
      <c r="C109" s="165">
        <v>273</v>
      </c>
      <c r="D109" s="165">
        <v>13340</v>
      </c>
      <c r="E109" s="165">
        <v>5588</v>
      </c>
      <c r="F109" s="165">
        <v>8088</v>
      </c>
      <c r="G109" s="165">
        <v>5528</v>
      </c>
      <c r="H109" s="165">
        <v>6995</v>
      </c>
      <c r="I109" s="180">
        <f>IFERROR(H109/G109-1,"-")</f>
        <v>0.26537626628075262</v>
      </c>
      <c r="J109" s="164">
        <f t="shared" si="49"/>
        <v>1467</v>
      </c>
      <c r="K109" s="166">
        <f t="shared" si="48"/>
        <v>3.3999932923649127E-3</v>
      </c>
    </row>
    <row r="110" spans="2:11" x14ac:dyDescent="0.25">
      <c r="B110" s="164" t="s">
        <v>102</v>
      </c>
      <c r="C110" s="165">
        <v>5168</v>
      </c>
      <c r="D110" s="165">
        <v>5065</v>
      </c>
      <c r="E110" s="165">
        <v>10814</v>
      </c>
      <c r="F110" s="165">
        <v>13766</v>
      </c>
      <c r="G110" s="165">
        <v>15086</v>
      </c>
      <c r="H110" s="165">
        <v>15316</v>
      </c>
      <c r="I110" s="180">
        <f>IFERROR(H110/G110-1,"-")</f>
        <v>1.5245923372663395E-2</v>
      </c>
      <c r="J110" s="164">
        <f t="shared" si="49"/>
        <v>230</v>
      </c>
      <c r="K110" s="166">
        <f t="shared" si="48"/>
        <v>7.4445028257127954E-3</v>
      </c>
    </row>
    <row r="111" spans="2:11" x14ac:dyDescent="0.25">
      <c r="B111" s="160" t="s">
        <v>109</v>
      </c>
      <c r="C111" s="161">
        <v>17186</v>
      </c>
      <c r="D111" s="161">
        <v>11969</v>
      </c>
      <c r="E111" s="161">
        <v>63204</v>
      </c>
      <c r="F111" s="161">
        <v>90008</v>
      </c>
      <c r="G111" s="161">
        <v>83111</v>
      </c>
      <c r="H111" s="161">
        <v>90285</v>
      </c>
      <c r="I111" s="179">
        <f>IFERROR(H111/G111-1,"-")</f>
        <v>8.6318297216974926E-2</v>
      </c>
      <c r="J111" s="160">
        <f t="shared" si="49"/>
        <v>7174</v>
      </c>
      <c r="K111" s="162">
        <f t="shared" si="48"/>
        <v>4.3883973466928683E-2</v>
      </c>
    </row>
    <row r="112" spans="2:11" x14ac:dyDescent="0.25">
      <c r="B112" s="164" t="s">
        <v>112</v>
      </c>
      <c r="C112" s="165">
        <v>9701</v>
      </c>
      <c r="D112" s="165">
        <v>1375</v>
      </c>
      <c r="E112" s="165">
        <v>36083</v>
      </c>
      <c r="F112" s="165">
        <v>58680</v>
      </c>
      <c r="G112" s="165">
        <v>50875</v>
      </c>
      <c r="H112" s="165">
        <v>53064</v>
      </c>
      <c r="I112" s="180">
        <f t="shared" ref="I112:I119" si="50">IFERROR(H112/G112-1,"-")</f>
        <v>4.3027027027026987E-2</v>
      </c>
      <c r="J112" s="164">
        <f t="shared" si="49"/>
        <v>2189</v>
      </c>
      <c r="K112" s="166">
        <f t="shared" si="48"/>
        <v>2.5792315091644279E-2</v>
      </c>
    </row>
    <row r="113" spans="2:11" x14ac:dyDescent="0.25">
      <c r="B113" s="164" t="s">
        <v>115</v>
      </c>
      <c r="C113" s="165">
        <v>1353</v>
      </c>
      <c r="D113" s="165">
        <v>3614</v>
      </c>
      <c r="E113" s="165">
        <v>3239</v>
      </c>
      <c r="F113" s="165">
        <v>4324</v>
      </c>
      <c r="G113" s="165">
        <v>3803</v>
      </c>
      <c r="H113" s="165">
        <v>4507</v>
      </c>
      <c r="I113" s="180">
        <f t="shared" si="50"/>
        <v>0.18511701288456472</v>
      </c>
      <c r="J113" s="164">
        <f t="shared" si="49"/>
        <v>704</v>
      </c>
      <c r="K113" s="166">
        <f t="shared" si="48"/>
        <v>2.1906747346231111E-3</v>
      </c>
    </row>
    <row r="114" spans="2:11" x14ac:dyDescent="0.25">
      <c r="B114" s="164" t="s">
        <v>118</v>
      </c>
      <c r="C114" s="165">
        <v>895</v>
      </c>
      <c r="D114" s="165">
        <v>2386</v>
      </c>
      <c r="E114" s="165">
        <v>4047</v>
      </c>
      <c r="F114" s="165">
        <v>7774</v>
      </c>
      <c r="G114" s="165">
        <v>5668</v>
      </c>
      <c r="H114" s="165">
        <v>7265</v>
      </c>
      <c r="I114" s="180">
        <f t="shared" si="50"/>
        <v>0.28175723359209592</v>
      </c>
      <c r="J114" s="164">
        <f t="shared" si="49"/>
        <v>1597</v>
      </c>
      <c r="K114" s="166">
        <f t="shared" si="48"/>
        <v>3.5312296310266037E-3</v>
      </c>
    </row>
    <row r="115" spans="2:11" x14ac:dyDescent="0.25">
      <c r="B115" s="164" t="s">
        <v>125</v>
      </c>
      <c r="C115" s="165">
        <v>429</v>
      </c>
      <c r="D115" s="165">
        <v>718</v>
      </c>
      <c r="E115" s="165">
        <v>3460</v>
      </c>
      <c r="F115" s="165">
        <v>2844</v>
      </c>
      <c r="G115" s="165">
        <v>3264</v>
      </c>
      <c r="H115" s="165">
        <v>3266</v>
      </c>
      <c r="I115" s="180">
        <f t="shared" si="50"/>
        <v>6.1274509803932453E-4</v>
      </c>
      <c r="J115" s="164">
        <f t="shared" si="49"/>
        <v>2</v>
      </c>
      <c r="K115" s="166">
        <f t="shared" si="48"/>
        <v>1.5874736372928956E-3</v>
      </c>
    </row>
    <row r="116" spans="2:11" x14ac:dyDescent="0.25">
      <c r="B116" s="164" t="s">
        <v>121</v>
      </c>
      <c r="C116" s="165">
        <v>623</v>
      </c>
      <c r="D116" s="165">
        <v>963</v>
      </c>
      <c r="E116" s="165">
        <v>2207</v>
      </c>
      <c r="F116" s="165">
        <v>2103</v>
      </c>
      <c r="G116" s="165">
        <v>2457</v>
      </c>
      <c r="H116" s="165">
        <v>2247</v>
      </c>
      <c r="I116" s="180">
        <f t="shared" si="50"/>
        <v>-8.54700854700855E-2</v>
      </c>
      <c r="J116" s="164">
        <f t="shared" si="49"/>
        <v>-210</v>
      </c>
      <c r="K116" s="166">
        <f t="shared" si="48"/>
        <v>1.0921779739734038E-3</v>
      </c>
    </row>
    <row r="117" spans="2:11" x14ac:dyDescent="0.25">
      <c r="B117" s="164" t="s">
        <v>130</v>
      </c>
      <c r="C117" s="165">
        <v>206</v>
      </c>
      <c r="D117" s="165">
        <v>10</v>
      </c>
      <c r="E117" s="165">
        <v>419</v>
      </c>
      <c r="F117" s="165">
        <v>590</v>
      </c>
      <c r="G117" s="165">
        <v>813</v>
      </c>
      <c r="H117" s="165">
        <v>783</v>
      </c>
      <c r="I117" s="180">
        <f t="shared" si="50"/>
        <v>-3.6900369003690092E-2</v>
      </c>
      <c r="J117" s="164">
        <f t="shared" si="49"/>
        <v>-30</v>
      </c>
      <c r="K117" s="166">
        <f t="shared" si="48"/>
        <v>3.8058538211890305E-4</v>
      </c>
    </row>
    <row r="118" spans="2:11" x14ac:dyDescent="0.25">
      <c r="B118" s="164" t="s">
        <v>133</v>
      </c>
      <c r="C118" s="165">
        <v>526</v>
      </c>
      <c r="D118" s="165">
        <v>16</v>
      </c>
      <c r="E118" s="165">
        <v>623</v>
      </c>
      <c r="F118" s="165">
        <v>373</v>
      </c>
      <c r="G118" s="165">
        <v>1010</v>
      </c>
      <c r="H118" s="165">
        <v>661</v>
      </c>
      <c r="I118" s="180">
        <f t="shared" si="50"/>
        <v>-0.34554455445544552</v>
      </c>
      <c r="J118" s="164">
        <f t="shared" si="49"/>
        <v>-349</v>
      </c>
      <c r="K118" s="166">
        <f t="shared" si="48"/>
        <v>3.212859994643613E-4</v>
      </c>
    </row>
    <row r="119" spans="2:11" x14ac:dyDescent="0.25">
      <c r="B119" s="169" t="s">
        <v>147</v>
      </c>
      <c r="C119" s="170">
        <f t="shared" ref="C119" si="51">C111-SUM(C112:C118)</f>
        <v>3453</v>
      </c>
      <c r="D119" s="170">
        <f t="shared" ref="D119:H119" si="52">D111-SUM(D112:D118)</f>
        <v>2887</v>
      </c>
      <c r="E119" s="170">
        <f t="shared" si="52"/>
        <v>13126</v>
      </c>
      <c r="F119" s="170">
        <f t="shared" si="52"/>
        <v>13320</v>
      </c>
      <c r="G119" s="170">
        <f t="shared" si="52"/>
        <v>15221</v>
      </c>
      <c r="H119" s="170">
        <f t="shared" si="52"/>
        <v>18492</v>
      </c>
      <c r="I119" s="181">
        <f t="shared" si="50"/>
        <v>0.21490046646081074</v>
      </c>
      <c r="J119" s="169">
        <f>H119-G119</f>
        <v>3271</v>
      </c>
      <c r="K119" s="171">
        <f t="shared" si="48"/>
        <v>8.9882310167851281E-3</v>
      </c>
    </row>
    <row r="120" spans="2:11" x14ac:dyDescent="0.25">
      <c r="B120" s="156" t="s">
        <v>53</v>
      </c>
      <c r="C120" s="154"/>
      <c r="D120" s="154"/>
      <c r="E120" s="154"/>
      <c r="F120" s="154"/>
      <c r="G120" s="154"/>
      <c r="H120" s="154"/>
      <c r="I120" s="155"/>
      <c r="J120" s="155"/>
      <c r="K120" s="154"/>
    </row>
    <row r="121" spans="2:11" x14ac:dyDescent="0.25">
      <c r="B121" s="157" t="s">
        <v>70</v>
      </c>
      <c r="C121" s="177">
        <f t="shared" ref="C121:H121" si="53">C122+C125</f>
        <v>52853</v>
      </c>
      <c r="D121" s="177">
        <f t="shared" si="53"/>
        <v>58803</v>
      </c>
      <c r="E121" s="177">
        <f t="shared" si="53"/>
        <v>104421</v>
      </c>
      <c r="F121" s="177">
        <f t="shared" si="53"/>
        <v>126576</v>
      </c>
      <c r="G121" s="177">
        <f t="shared" si="53"/>
        <v>125410</v>
      </c>
      <c r="H121" s="177">
        <f t="shared" si="53"/>
        <v>140761</v>
      </c>
      <c r="I121" s="178">
        <f>IFERROR(H121/G121-1,"-")</f>
        <v>0.12240650665816122</v>
      </c>
      <c r="J121" s="177">
        <f>H121-G121</f>
        <v>15351</v>
      </c>
      <c r="K121" s="178">
        <f t="shared" ref="K121:K133" si="54">H121/H$9</f>
        <v>6.8418363949474981E-2</v>
      </c>
    </row>
    <row r="122" spans="2:11" x14ac:dyDescent="0.25">
      <c r="B122" s="160" t="s">
        <v>99</v>
      </c>
      <c r="C122" s="161">
        <v>26940</v>
      </c>
      <c r="D122" s="161">
        <v>38654</v>
      </c>
      <c r="E122" s="161">
        <v>62976</v>
      </c>
      <c r="F122" s="161">
        <v>76465</v>
      </c>
      <c r="G122" s="161">
        <v>75937</v>
      </c>
      <c r="H122" s="161">
        <v>87725</v>
      </c>
      <c r="I122" s="179">
        <f>IFERROR(H122/G122-1,"-")</f>
        <v>0.1552339439272028</v>
      </c>
      <c r="J122" s="160">
        <f t="shared" ref="J122:J132" si="55">H122-G122</f>
        <v>11788</v>
      </c>
      <c r="K122" s="162">
        <f t="shared" si="54"/>
        <v>4.2639658552210434E-2</v>
      </c>
    </row>
    <row r="123" spans="2:11" x14ac:dyDescent="0.25">
      <c r="B123" s="164" t="s">
        <v>105</v>
      </c>
      <c r="C123" s="165">
        <v>13715</v>
      </c>
      <c r="D123" s="165">
        <v>20861</v>
      </c>
      <c r="E123" s="165">
        <v>31514</v>
      </c>
      <c r="F123" s="165">
        <v>35561</v>
      </c>
      <c r="G123" s="165">
        <v>34109</v>
      </c>
      <c r="H123" s="165">
        <v>44044</v>
      </c>
      <c r="I123" s="180">
        <f>IFERROR(H123/G123-1,"-")</f>
        <v>0.29127209827318312</v>
      </c>
      <c r="J123" s="164">
        <f t="shared" si="55"/>
        <v>9935</v>
      </c>
      <c r="K123" s="166">
        <f t="shared" si="54"/>
        <v>2.1408049259316688E-2</v>
      </c>
    </row>
    <row r="124" spans="2:11" x14ac:dyDescent="0.25">
      <c r="B124" s="164" t="s">
        <v>102</v>
      </c>
      <c r="C124" s="165">
        <v>13225</v>
      </c>
      <c r="D124" s="165">
        <v>17793</v>
      </c>
      <c r="E124" s="165">
        <v>31462</v>
      </c>
      <c r="F124" s="165">
        <v>40904</v>
      </c>
      <c r="G124" s="165">
        <v>41828</v>
      </c>
      <c r="H124" s="165">
        <v>43681</v>
      </c>
      <c r="I124" s="180">
        <f>IFERROR(H124/G124-1,"-")</f>
        <v>4.4300468585636521E-2</v>
      </c>
      <c r="J124" s="164">
        <f t="shared" si="55"/>
        <v>1853</v>
      </c>
      <c r="K124" s="166">
        <f t="shared" si="54"/>
        <v>2.1231609292893746E-2</v>
      </c>
    </row>
    <row r="125" spans="2:11" x14ac:dyDescent="0.25">
      <c r="B125" s="160" t="s">
        <v>109</v>
      </c>
      <c r="C125" s="161">
        <v>25913</v>
      </c>
      <c r="D125" s="161">
        <v>20149</v>
      </c>
      <c r="E125" s="161">
        <v>41445</v>
      </c>
      <c r="F125" s="161">
        <v>50111</v>
      </c>
      <c r="G125" s="161">
        <v>49473</v>
      </c>
      <c r="H125" s="161">
        <v>53036</v>
      </c>
      <c r="I125" s="179">
        <f>IFERROR(H125/G125-1,"-")</f>
        <v>7.20190811149517E-2</v>
      </c>
      <c r="J125" s="160">
        <f t="shared" si="55"/>
        <v>3563</v>
      </c>
      <c r="K125" s="162">
        <f t="shared" si="54"/>
        <v>2.577870539726455E-2</v>
      </c>
    </row>
    <row r="126" spans="2:11" x14ac:dyDescent="0.25">
      <c r="B126" s="164" t="s">
        <v>112</v>
      </c>
      <c r="C126" s="165">
        <v>2810</v>
      </c>
      <c r="D126" s="165">
        <v>615</v>
      </c>
      <c r="E126" s="165">
        <v>4066</v>
      </c>
      <c r="F126" s="165">
        <v>6033</v>
      </c>
      <c r="G126" s="165">
        <v>6038</v>
      </c>
      <c r="H126" s="165">
        <v>5509</v>
      </c>
      <c r="I126" s="180">
        <f t="shared" ref="I126:I133" si="56">IFERROR(H126/G126-1,"-")</f>
        <v>-8.761179198410074E-2</v>
      </c>
      <c r="J126" s="164">
        <f t="shared" si="55"/>
        <v>-529</v>
      </c>
      <c r="K126" s="166">
        <f t="shared" si="54"/>
        <v>2.6777073692120521E-3</v>
      </c>
    </row>
    <row r="127" spans="2:11" x14ac:dyDescent="0.25">
      <c r="B127" s="164" t="s">
        <v>115</v>
      </c>
      <c r="C127" s="165">
        <v>2894</v>
      </c>
      <c r="D127" s="165">
        <v>2123</v>
      </c>
      <c r="E127" s="165">
        <v>4651</v>
      </c>
      <c r="F127" s="165">
        <v>7604</v>
      </c>
      <c r="G127" s="165">
        <v>7167</v>
      </c>
      <c r="H127" s="165">
        <v>8018</v>
      </c>
      <c r="I127" s="180">
        <f t="shared" si="56"/>
        <v>0.11873866331798522</v>
      </c>
      <c r="J127" s="164">
        <f t="shared" si="55"/>
        <v>851</v>
      </c>
      <c r="K127" s="166">
        <f t="shared" si="54"/>
        <v>3.8972331977386522E-3</v>
      </c>
    </row>
    <row r="128" spans="2:11" x14ac:dyDescent="0.25">
      <c r="B128" s="164" t="s">
        <v>118</v>
      </c>
      <c r="C128" s="165">
        <v>1950</v>
      </c>
      <c r="D128" s="165">
        <v>2898</v>
      </c>
      <c r="E128" s="165">
        <v>4036</v>
      </c>
      <c r="F128" s="165">
        <v>4476</v>
      </c>
      <c r="G128" s="165">
        <v>4146</v>
      </c>
      <c r="H128" s="165">
        <v>4275</v>
      </c>
      <c r="I128" s="180">
        <f t="shared" si="56"/>
        <v>3.1114327062228719E-2</v>
      </c>
      <c r="J128" s="164">
        <f t="shared" si="55"/>
        <v>129</v>
      </c>
      <c r="K128" s="166">
        <f t="shared" si="54"/>
        <v>2.0779086954767693E-3</v>
      </c>
    </row>
    <row r="129" spans="2:11" x14ac:dyDescent="0.25">
      <c r="B129" s="164" t="s">
        <v>125</v>
      </c>
      <c r="C129" s="165">
        <v>527</v>
      </c>
      <c r="D129" s="165">
        <v>311</v>
      </c>
      <c r="E129" s="165">
        <v>1177</v>
      </c>
      <c r="F129" s="165">
        <v>1213</v>
      </c>
      <c r="G129" s="165">
        <v>1249</v>
      </c>
      <c r="H129" s="165">
        <v>1298</v>
      </c>
      <c r="I129" s="180">
        <f t="shared" si="56"/>
        <v>3.9231385108086547E-2</v>
      </c>
      <c r="J129" s="164">
        <f t="shared" si="55"/>
        <v>49</v>
      </c>
      <c r="K129" s="166">
        <f t="shared" si="54"/>
        <v>6.30906546603239E-4</v>
      </c>
    </row>
    <row r="130" spans="2:11" x14ac:dyDescent="0.25">
      <c r="B130" s="164" t="s">
        <v>121</v>
      </c>
      <c r="C130" s="165">
        <v>455</v>
      </c>
      <c r="D130" s="165">
        <v>305</v>
      </c>
      <c r="E130" s="165">
        <v>877</v>
      </c>
      <c r="F130" s="165">
        <v>940</v>
      </c>
      <c r="G130" s="165">
        <v>1013</v>
      </c>
      <c r="H130" s="165">
        <v>1127</v>
      </c>
      <c r="I130" s="180">
        <f t="shared" si="56"/>
        <v>0.11253701875616984</v>
      </c>
      <c r="J130" s="164">
        <f t="shared" si="55"/>
        <v>114</v>
      </c>
      <c r="K130" s="166">
        <f t="shared" si="54"/>
        <v>5.477901987841682E-4</v>
      </c>
    </row>
    <row r="131" spans="2:11" x14ac:dyDescent="0.25">
      <c r="B131" s="164" t="s">
        <v>130</v>
      </c>
      <c r="C131" s="165">
        <v>630</v>
      </c>
      <c r="D131" s="165">
        <v>34</v>
      </c>
      <c r="E131" s="165">
        <v>572</v>
      </c>
      <c r="F131" s="165">
        <v>775</v>
      </c>
      <c r="G131" s="165">
        <v>858</v>
      </c>
      <c r="H131" s="165">
        <v>669</v>
      </c>
      <c r="I131" s="180">
        <f t="shared" si="56"/>
        <v>-0.22027972027972031</v>
      </c>
      <c r="J131" s="164">
        <f t="shared" si="55"/>
        <v>-189</v>
      </c>
      <c r="K131" s="166">
        <f t="shared" si="54"/>
        <v>3.2517448357285587E-4</v>
      </c>
    </row>
    <row r="132" spans="2:11" x14ac:dyDescent="0.25">
      <c r="B132" s="164" t="s">
        <v>133</v>
      </c>
      <c r="C132" s="165">
        <v>970</v>
      </c>
      <c r="D132" s="165">
        <v>141</v>
      </c>
      <c r="E132" s="165">
        <v>1030</v>
      </c>
      <c r="F132" s="165">
        <v>1454</v>
      </c>
      <c r="G132" s="165">
        <v>1318</v>
      </c>
      <c r="H132" s="165">
        <v>1364</v>
      </c>
      <c r="I132" s="180">
        <f t="shared" si="56"/>
        <v>3.4901365705614529E-2</v>
      </c>
      <c r="J132" s="164">
        <f t="shared" si="55"/>
        <v>46</v>
      </c>
      <c r="K132" s="166">
        <f t="shared" si="54"/>
        <v>6.6298654049831891E-4</v>
      </c>
    </row>
    <row r="133" spans="2:11" x14ac:dyDescent="0.25">
      <c r="B133" s="169" t="s">
        <v>147</v>
      </c>
      <c r="C133" s="170">
        <f t="shared" ref="C133" si="57">C125-SUM(C126:C132)</f>
        <v>15677</v>
      </c>
      <c r="D133" s="170">
        <f t="shared" ref="D133:H133" si="58">D125-SUM(D126:D132)</f>
        <v>13722</v>
      </c>
      <c r="E133" s="170">
        <f t="shared" si="58"/>
        <v>25036</v>
      </c>
      <c r="F133" s="170">
        <f t="shared" si="58"/>
        <v>27616</v>
      </c>
      <c r="G133" s="170">
        <f t="shared" si="58"/>
        <v>27684</v>
      </c>
      <c r="H133" s="170">
        <f t="shared" si="58"/>
        <v>30776</v>
      </c>
      <c r="I133" s="181">
        <f t="shared" si="56"/>
        <v>0.11168906227423792</v>
      </c>
      <c r="J133" s="169">
        <f>H133-G133</f>
        <v>3092</v>
      </c>
      <c r="K133" s="171">
        <f t="shared" si="54"/>
        <v>1.4958998365378492E-2</v>
      </c>
    </row>
    <row r="134" spans="2:11" x14ac:dyDescent="0.25">
      <c r="B134" s="156" t="s">
        <v>54</v>
      </c>
      <c r="C134" s="154"/>
      <c r="D134" s="154"/>
      <c r="E134" s="154"/>
      <c r="F134" s="154"/>
      <c r="G134" s="154"/>
      <c r="H134" s="154"/>
      <c r="I134" s="155"/>
      <c r="J134" s="155"/>
      <c r="K134" s="154"/>
    </row>
    <row r="135" spans="2:11" x14ac:dyDescent="0.25">
      <c r="B135" s="157" t="s">
        <v>70</v>
      </c>
      <c r="C135" s="177">
        <f t="shared" ref="C135:H135" si="59">C136+C139</f>
        <v>39287</v>
      </c>
      <c r="D135" s="177">
        <f t="shared" si="59"/>
        <v>27596</v>
      </c>
      <c r="E135" s="177">
        <f t="shared" si="59"/>
        <v>101147</v>
      </c>
      <c r="F135" s="177">
        <f t="shared" si="59"/>
        <v>110205</v>
      </c>
      <c r="G135" s="177">
        <f t="shared" si="59"/>
        <v>117985</v>
      </c>
      <c r="H135" s="177">
        <f t="shared" si="59"/>
        <v>110668</v>
      </c>
      <c r="I135" s="178">
        <f>IFERROR(H135/G135-1,"-")</f>
        <v>-6.201635801161165E-2</v>
      </c>
      <c r="J135" s="177">
        <f>H135-G135</f>
        <v>-7317</v>
      </c>
      <c r="K135" s="178">
        <f t="shared" ref="K135:K147" si="60">H135/H$9</f>
        <v>5.3791344914859207E-2</v>
      </c>
    </row>
    <row r="136" spans="2:11" x14ac:dyDescent="0.25">
      <c r="B136" s="160" t="s">
        <v>99</v>
      </c>
      <c r="C136" s="161">
        <v>1887</v>
      </c>
      <c r="D136" s="161">
        <v>16639</v>
      </c>
      <c r="E136" s="161">
        <v>8843</v>
      </c>
      <c r="F136" s="161">
        <v>10689</v>
      </c>
      <c r="G136" s="161">
        <v>8050</v>
      </c>
      <c r="H136" s="161">
        <v>6445</v>
      </c>
      <c r="I136" s="179">
        <f>IFERROR(H136/G136-1,"-")</f>
        <v>-0.19937888198757769</v>
      </c>
      <c r="J136" s="160">
        <f t="shared" ref="J136:J146" si="61">H136-G136</f>
        <v>-1605</v>
      </c>
      <c r="K136" s="162">
        <f t="shared" si="60"/>
        <v>3.1326600099059131E-3</v>
      </c>
    </row>
    <row r="137" spans="2:11" x14ac:dyDescent="0.25">
      <c r="B137" s="164" t="s">
        <v>105</v>
      </c>
      <c r="C137" s="165">
        <v>1146</v>
      </c>
      <c r="D137" s="165">
        <v>14544</v>
      </c>
      <c r="E137" s="165">
        <v>6143</v>
      </c>
      <c r="F137" s="165">
        <v>6988</v>
      </c>
      <c r="G137" s="165">
        <v>5049</v>
      </c>
      <c r="H137" s="165">
        <v>2828</v>
      </c>
      <c r="I137" s="180">
        <f>IFERROR(H137/G137-1,"-")</f>
        <v>-0.43988908694791051</v>
      </c>
      <c r="J137" s="164">
        <f t="shared" si="61"/>
        <v>-2221</v>
      </c>
      <c r="K137" s="166">
        <f t="shared" si="60"/>
        <v>1.3745791323528196E-3</v>
      </c>
    </row>
    <row r="138" spans="2:11" x14ac:dyDescent="0.25">
      <c r="B138" s="164" t="s">
        <v>102</v>
      </c>
      <c r="C138" s="165">
        <v>741</v>
      </c>
      <c r="D138" s="165">
        <v>2095</v>
      </c>
      <c r="E138" s="165">
        <v>2700</v>
      </c>
      <c r="F138" s="165">
        <v>3701</v>
      </c>
      <c r="G138" s="165">
        <v>3001</v>
      </c>
      <c r="H138" s="165">
        <v>3617</v>
      </c>
      <c r="I138" s="180">
        <f>IFERROR(H138/G138-1,"-")</f>
        <v>0.20526491169610139</v>
      </c>
      <c r="J138" s="164">
        <f t="shared" si="61"/>
        <v>616</v>
      </c>
      <c r="K138" s="166">
        <f t="shared" si="60"/>
        <v>1.7580808775530935E-3</v>
      </c>
    </row>
    <row r="139" spans="2:11" x14ac:dyDescent="0.25">
      <c r="B139" s="160" t="s">
        <v>109</v>
      </c>
      <c r="C139" s="161">
        <v>37400</v>
      </c>
      <c r="D139" s="161">
        <v>10957</v>
      </c>
      <c r="E139" s="161">
        <v>92304</v>
      </c>
      <c r="F139" s="161">
        <v>99516</v>
      </c>
      <c r="G139" s="161">
        <v>109935</v>
      </c>
      <c r="H139" s="161">
        <v>104223</v>
      </c>
      <c r="I139" s="179">
        <f>IFERROR(H139/G139-1,"-")</f>
        <v>-5.1957975167144177E-2</v>
      </c>
      <c r="J139" s="160">
        <f t="shared" si="61"/>
        <v>-5712</v>
      </c>
      <c r="K139" s="162">
        <f t="shared" si="60"/>
        <v>5.0658684904953295E-2</v>
      </c>
    </row>
    <row r="140" spans="2:11" x14ac:dyDescent="0.25">
      <c r="B140" s="164" t="s">
        <v>112</v>
      </c>
      <c r="C140" s="165">
        <v>15636</v>
      </c>
      <c r="D140" s="165">
        <v>332</v>
      </c>
      <c r="E140" s="165">
        <v>38761</v>
      </c>
      <c r="F140" s="165">
        <v>40477</v>
      </c>
      <c r="G140" s="165">
        <v>47891</v>
      </c>
      <c r="H140" s="165">
        <v>47287</v>
      </c>
      <c r="I140" s="180">
        <f t="shared" ref="I140:I147" si="62">IFERROR(H140/G140-1,"-")</f>
        <v>-1.2611973022070955E-2</v>
      </c>
      <c r="J140" s="164">
        <f t="shared" si="61"/>
        <v>-604</v>
      </c>
      <c r="K140" s="166">
        <f t="shared" si="60"/>
        <v>2.2984343504797659E-2</v>
      </c>
    </row>
    <row r="141" spans="2:11" x14ac:dyDescent="0.25">
      <c r="B141" s="164" t="s">
        <v>115</v>
      </c>
      <c r="C141" s="165">
        <v>2675</v>
      </c>
      <c r="D141" s="165">
        <v>1231</v>
      </c>
      <c r="E141" s="165">
        <v>5966</v>
      </c>
      <c r="F141" s="165">
        <v>8947</v>
      </c>
      <c r="G141" s="165">
        <v>10243</v>
      </c>
      <c r="H141" s="165">
        <v>9003</v>
      </c>
      <c r="I141" s="180">
        <f t="shared" si="62"/>
        <v>-0.12105828370594551</v>
      </c>
      <c r="J141" s="164">
        <f t="shared" si="61"/>
        <v>-1240</v>
      </c>
      <c r="K141" s="166">
        <f t="shared" si="60"/>
        <v>4.3760028035970426E-3</v>
      </c>
    </row>
    <row r="142" spans="2:11" x14ac:dyDescent="0.25">
      <c r="B142" s="164" t="s">
        <v>118</v>
      </c>
      <c r="C142" s="165">
        <v>3097</v>
      </c>
      <c r="D142" s="165">
        <v>3669</v>
      </c>
      <c r="E142" s="165">
        <v>11878</v>
      </c>
      <c r="F142" s="165">
        <v>10955</v>
      </c>
      <c r="G142" s="165">
        <v>11500</v>
      </c>
      <c r="H142" s="165">
        <v>9439</v>
      </c>
      <c r="I142" s="180">
        <f t="shared" si="62"/>
        <v>-0.17921739130434777</v>
      </c>
      <c r="J142" s="164">
        <f t="shared" si="61"/>
        <v>-2061</v>
      </c>
      <c r="K142" s="166">
        <f t="shared" si="60"/>
        <v>4.587925187509995E-3</v>
      </c>
    </row>
    <row r="143" spans="2:11" x14ac:dyDescent="0.25">
      <c r="B143" s="164" t="s">
        <v>125</v>
      </c>
      <c r="C143" s="165">
        <v>406</v>
      </c>
      <c r="D143" s="165">
        <v>115</v>
      </c>
      <c r="E143" s="165">
        <v>3886</v>
      </c>
      <c r="F143" s="165">
        <v>3467</v>
      </c>
      <c r="G143" s="165">
        <v>2610</v>
      </c>
      <c r="H143" s="165">
        <v>2312</v>
      </c>
      <c r="I143" s="180">
        <f t="shared" si="62"/>
        <v>-0.114176245210728</v>
      </c>
      <c r="J143" s="164">
        <f t="shared" si="61"/>
        <v>-298</v>
      </c>
      <c r="K143" s="166">
        <f t="shared" si="60"/>
        <v>1.1237719073549219E-3</v>
      </c>
    </row>
    <row r="144" spans="2:11" x14ac:dyDescent="0.25">
      <c r="B144" s="164" t="s">
        <v>121</v>
      </c>
      <c r="C144" s="165">
        <v>671</v>
      </c>
      <c r="D144" s="165">
        <v>404</v>
      </c>
      <c r="E144" s="165">
        <v>1687</v>
      </c>
      <c r="F144" s="165">
        <v>2040</v>
      </c>
      <c r="G144" s="165">
        <v>2512</v>
      </c>
      <c r="H144" s="165">
        <v>1714</v>
      </c>
      <c r="I144" s="180">
        <f t="shared" si="62"/>
        <v>-0.3176751592356688</v>
      </c>
      <c r="J144" s="164">
        <f t="shared" si="61"/>
        <v>-798</v>
      </c>
      <c r="K144" s="166">
        <f t="shared" si="60"/>
        <v>8.3310772024495507E-4</v>
      </c>
    </row>
    <row r="145" spans="2:11" x14ac:dyDescent="0.25">
      <c r="B145" s="164" t="s">
        <v>130</v>
      </c>
      <c r="C145" s="165">
        <v>1581</v>
      </c>
      <c r="D145" s="165">
        <v>19</v>
      </c>
      <c r="E145" s="165">
        <v>1560</v>
      </c>
      <c r="F145" s="165">
        <v>1946</v>
      </c>
      <c r="G145" s="165">
        <v>1796</v>
      </c>
      <c r="H145" s="165">
        <v>1993</v>
      </c>
      <c r="I145" s="180">
        <f t="shared" si="62"/>
        <v>0.10968819599109136</v>
      </c>
      <c r="J145" s="164">
        <f t="shared" si="61"/>
        <v>197</v>
      </c>
      <c r="K145" s="166">
        <f t="shared" si="60"/>
        <v>9.6871860352870209E-4</v>
      </c>
    </row>
    <row r="146" spans="2:11" x14ac:dyDescent="0.25">
      <c r="B146" s="164" t="s">
        <v>133</v>
      </c>
      <c r="C146" s="165">
        <v>3277</v>
      </c>
      <c r="D146" s="165">
        <v>37</v>
      </c>
      <c r="E146" s="165">
        <v>725</v>
      </c>
      <c r="F146" s="165">
        <v>1292</v>
      </c>
      <c r="G146" s="165">
        <v>1153</v>
      </c>
      <c r="H146" s="165">
        <v>806</v>
      </c>
      <c r="I146" s="180">
        <f t="shared" si="62"/>
        <v>-0.30095403295750212</v>
      </c>
      <c r="J146" s="164">
        <f t="shared" si="61"/>
        <v>-347</v>
      </c>
      <c r="K146" s="166">
        <f t="shared" si="60"/>
        <v>3.9176477393082482E-4</v>
      </c>
    </row>
    <row r="147" spans="2:11" x14ac:dyDescent="0.25">
      <c r="B147" s="169" t="s">
        <v>147</v>
      </c>
      <c r="C147" s="170">
        <f t="shared" ref="C147" si="63">C139-SUM(C140:C146)</f>
        <v>10057</v>
      </c>
      <c r="D147" s="170">
        <f t="shared" ref="D147:H147" si="64">D139-SUM(D140:D146)</f>
        <v>5150</v>
      </c>
      <c r="E147" s="170">
        <f t="shared" si="64"/>
        <v>27841</v>
      </c>
      <c r="F147" s="170">
        <f t="shared" si="64"/>
        <v>30392</v>
      </c>
      <c r="G147" s="170">
        <f t="shared" si="64"/>
        <v>32230</v>
      </c>
      <c r="H147" s="170">
        <f t="shared" si="64"/>
        <v>31669</v>
      </c>
      <c r="I147" s="181">
        <f t="shared" si="62"/>
        <v>-1.7406143344709912E-2</v>
      </c>
      <c r="J147" s="169">
        <f>H147-G147</f>
        <v>-561</v>
      </c>
      <c r="K147" s="171">
        <f t="shared" si="60"/>
        <v>1.5393050403989196E-2</v>
      </c>
    </row>
    <row r="148" spans="2:11" x14ac:dyDescent="0.25">
      <c r="B148" s="156" t="s">
        <v>55</v>
      </c>
      <c r="C148" s="154"/>
      <c r="D148" s="154"/>
      <c r="E148" s="154"/>
      <c r="F148" s="154"/>
      <c r="G148" s="154"/>
      <c r="H148" s="154"/>
      <c r="I148" s="155"/>
      <c r="J148" s="155"/>
      <c r="K148" s="154"/>
    </row>
    <row r="149" spans="2:11" x14ac:dyDescent="0.25">
      <c r="B149" s="157" t="s">
        <v>70</v>
      </c>
      <c r="C149" s="177">
        <f t="shared" ref="C149:H149" si="65">C150+C153</f>
        <v>22394</v>
      </c>
      <c r="D149" s="177">
        <f t="shared" si="65"/>
        <v>22130</v>
      </c>
      <c r="E149" s="177">
        <f t="shared" si="65"/>
        <v>51491</v>
      </c>
      <c r="F149" s="177">
        <f t="shared" si="65"/>
        <v>54554</v>
      </c>
      <c r="G149" s="177">
        <f t="shared" si="65"/>
        <v>56482</v>
      </c>
      <c r="H149" s="177">
        <f t="shared" si="65"/>
        <v>53731</v>
      </c>
      <c r="I149" s="178">
        <f>IFERROR(H149/G149-1,"-")</f>
        <v>-4.8705782373145379E-2</v>
      </c>
      <c r="J149" s="177">
        <f>H149-G149</f>
        <v>-2751</v>
      </c>
      <c r="K149" s="178">
        <f t="shared" ref="K149:K161" si="66">H149/H$9</f>
        <v>2.6116517454190011E-2</v>
      </c>
    </row>
    <row r="150" spans="2:11" x14ac:dyDescent="0.25">
      <c r="B150" s="160" t="s">
        <v>99</v>
      </c>
      <c r="C150" s="161">
        <v>7858</v>
      </c>
      <c r="D150" s="161">
        <v>15491</v>
      </c>
      <c r="E150" s="161">
        <v>27566</v>
      </c>
      <c r="F150" s="161">
        <v>27917</v>
      </c>
      <c r="G150" s="161">
        <v>25173</v>
      </c>
      <c r="H150" s="161">
        <v>22526</v>
      </c>
      <c r="I150" s="179">
        <f>IFERROR(H150/G150-1,"-")</f>
        <v>-0.10515234576729038</v>
      </c>
      <c r="J150" s="160">
        <f t="shared" ref="J150:J160" si="67">H150-G150</f>
        <v>-2647</v>
      </c>
      <c r="K150" s="162">
        <f t="shared" si="66"/>
        <v>1.09489991284935E-2</v>
      </c>
    </row>
    <row r="151" spans="2:11" x14ac:dyDescent="0.25">
      <c r="B151" s="164" t="s">
        <v>105</v>
      </c>
      <c r="C151" s="165">
        <v>3860</v>
      </c>
      <c r="D151" s="165">
        <v>13582</v>
      </c>
      <c r="E151" s="165">
        <v>19220</v>
      </c>
      <c r="F151" s="165">
        <v>19438</v>
      </c>
      <c r="G151" s="165">
        <v>17099</v>
      </c>
      <c r="H151" s="165">
        <v>14561</v>
      </c>
      <c r="I151" s="180">
        <f>IFERROR(H151/G151-1,"-")</f>
        <v>-0.14842973273290838</v>
      </c>
      <c r="J151" s="164">
        <f t="shared" si="67"/>
        <v>-2538</v>
      </c>
      <c r="K151" s="166">
        <f t="shared" si="66"/>
        <v>7.0775271379736231E-3</v>
      </c>
    </row>
    <row r="152" spans="2:11" x14ac:dyDescent="0.25">
      <c r="B152" s="164" t="s">
        <v>102</v>
      </c>
      <c r="C152" s="165">
        <v>3998</v>
      </c>
      <c r="D152" s="165">
        <v>1909</v>
      </c>
      <c r="E152" s="165">
        <v>8346</v>
      </c>
      <c r="F152" s="165">
        <v>8479</v>
      </c>
      <c r="G152" s="165">
        <v>8074</v>
      </c>
      <c r="H152" s="165">
        <v>7965</v>
      </c>
      <c r="I152" s="180">
        <f>IFERROR(H152/G152-1,"-")</f>
        <v>-1.350012385434729E-2</v>
      </c>
      <c r="J152" s="164">
        <f t="shared" si="67"/>
        <v>-109</v>
      </c>
      <c r="K152" s="166">
        <f t="shared" si="66"/>
        <v>3.8714719905198758E-3</v>
      </c>
    </row>
    <row r="153" spans="2:11" x14ac:dyDescent="0.25">
      <c r="B153" s="160" t="s">
        <v>109</v>
      </c>
      <c r="C153" s="161">
        <v>14536</v>
      </c>
      <c r="D153" s="161">
        <v>6639</v>
      </c>
      <c r="E153" s="161">
        <v>23925</v>
      </c>
      <c r="F153" s="161">
        <v>26637</v>
      </c>
      <c r="G153" s="161">
        <v>31309</v>
      </c>
      <c r="H153" s="161">
        <v>31205</v>
      </c>
      <c r="I153" s="179">
        <f>IFERROR(H153/G153-1,"-")</f>
        <v>-3.3217285764476356E-3</v>
      </c>
      <c r="J153" s="160">
        <f t="shared" si="67"/>
        <v>-104</v>
      </c>
      <c r="K153" s="162">
        <f t="shared" si="66"/>
        <v>1.5167518325696513E-2</v>
      </c>
    </row>
    <row r="154" spans="2:11" x14ac:dyDescent="0.25">
      <c r="B154" s="164" t="s">
        <v>112</v>
      </c>
      <c r="C154" s="165">
        <v>4906</v>
      </c>
      <c r="D154" s="165">
        <v>254</v>
      </c>
      <c r="E154" s="165">
        <v>8680</v>
      </c>
      <c r="F154" s="165">
        <v>9365</v>
      </c>
      <c r="G154" s="165">
        <v>10420</v>
      </c>
      <c r="H154" s="165">
        <v>8691</v>
      </c>
      <c r="I154" s="180">
        <f t="shared" ref="I154:I161" si="68">IFERROR(H154/G154-1,"-")</f>
        <v>-0.16593090211132433</v>
      </c>
      <c r="J154" s="164">
        <f t="shared" si="67"/>
        <v>-1729</v>
      </c>
      <c r="K154" s="166">
        <f t="shared" si="66"/>
        <v>4.2243519233657548E-3</v>
      </c>
    </row>
    <row r="155" spans="2:11" x14ac:dyDescent="0.25">
      <c r="B155" s="164" t="s">
        <v>115</v>
      </c>
      <c r="C155" s="165">
        <v>3835</v>
      </c>
      <c r="D155" s="165">
        <v>1235</v>
      </c>
      <c r="E155" s="165">
        <v>5208</v>
      </c>
      <c r="F155" s="165">
        <v>5064</v>
      </c>
      <c r="G155" s="165">
        <v>5309</v>
      </c>
      <c r="H155" s="165">
        <v>5238</v>
      </c>
      <c r="I155" s="180">
        <f t="shared" si="68"/>
        <v>-1.3373516669806018E-2</v>
      </c>
      <c r="J155" s="164">
        <f t="shared" si="67"/>
        <v>-71</v>
      </c>
      <c r="K155" s="166">
        <f t="shared" si="66"/>
        <v>2.5459849700367999E-3</v>
      </c>
    </row>
    <row r="156" spans="2:11" x14ac:dyDescent="0.25">
      <c r="B156" s="164" t="s">
        <v>118</v>
      </c>
      <c r="C156" s="165">
        <v>1701</v>
      </c>
      <c r="D156" s="165">
        <v>1963</v>
      </c>
      <c r="E156" s="165">
        <v>2761</v>
      </c>
      <c r="F156" s="165">
        <v>4025</v>
      </c>
      <c r="G156" s="165">
        <v>5064</v>
      </c>
      <c r="H156" s="165">
        <v>7204</v>
      </c>
      <c r="I156" s="180">
        <f t="shared" si="68"/>
        <v>0.42259083728278046</v>
      </c>
      <c r="J156" s="164">
        <f t="shared" si="67"/>
        <v>2140</v>
      </c>
      <c r="K156" s="166">
        <f t="shared" si="66"/>
        <v>3.5015799396993326E-3</v>
      </c>
    </row>
    <row r="157" spans="2:11" x14ac:dyDescent="0.25">
      <c r="B157" s="164" t="s">
        <v>125</v>
      </c>
      <c r="C157" s="165">
        <v>495</v>
      </c>
      <c r="D157" s="165">
        <v>237</v>
      </c>
      <c r="E157" s="165">
        <v>747</v>
      </c>
      <c r="F157" s="165">
        <v>738</v>
      </c>
      <c r="G157" s="165">
        <v>1062</v>
      </c>
      <c r="H157" s="165">
        <v>1092</v>
      </c>
      <c r="I157" s="180">
        <f t="shared" si="68"/>
        <v>2.8248587570621542E-2</v>
      </c>
      <c r="J157" s="164">
        <f t="shared" si="67"/>
        <v>30</v>
      </c>
      <c r="K157" s="166">
        <f t="shared" si="66"/>
        <v>5.3077808080950457E-4</v>
      </c>
    </row>
    <row r="158" spans="2:11" x14ac:dyDescent="0.25">
      <c r="B158" s="164" t="s">
        <v>121</v>
      </c>
      <c r="C158" s="165">
        <v>507</v>
      </c>
      <c r="D158" s="165">
        <v>282</v>
      </c>
      <c r="E158" s="165">
        <v>1101</v>
      </c>
      <c r="F158" s="165">
        <v>1259</v>
      </c>
      <c r="G158" s="165">
        <v>1276</v>
      </c>
      <c r="H158" s="165">
        <v>1153</v>
      </c>
      <c r="I158" s="180">
        <f t="shared" si="68"/>
        <v>-9.6394984326018784E-2</v>
      </c>
      <c r="J158" s="164">
        <f t="shared" si="67"/>
        <v>-123</v>
      </c>
      <c r="K158" s="166">
        <f t="shared" si="66"/>
        <v>5.6042777213677548E-4</v>
      </c>
    </row>
    <row r="159" spans="2:11" x14ac:dyDescent="0.25">
      <c r="B159" s="164" t="s">
        <v>130</v>
      </c>
      <c r="C159" s="165">
        <v>209</v>
      </c>
      <c r="D159" s="165">
        <v>24</v>
      </c>
      <c r="E159" s="165">
        <v>241</v>
      </c>
      <c r="F159" s="165">
        <v>236</v>
      </c>
      <c r="G159" s="165">
        <v>258</v>
      </c>
      <c r="H159" s="165">
        <v>188</v>
      </c>
      <c r="I159" s="180">
        <f t="shared" si="68"/>
        <v>-0.27131782945736438</v>
      </c>
      <c r="J159" s="164">
        <f t="shared" si="67"/>
        <v>-70</v>
      </c>
      <c r="K159" s="166">
        <f t="shared" si="66"/>
        <v>9.1379376549621677E-5</v>
      </c>
    </row>
    <row r="160" spans="2:11" x14ac:dyDescent="0.25">
      <c r="B160" s="164" t="s">
        <v>133</v>
      </c>
      <c r="C160" s="165">
        <v>277</v>
      </c>
      <c r="D160" s="165">
        <v>62</v>
      </c>
      <c r="E160" s="165">
        <v>382</v>
      </c>
      <c r="F160" s="165">
        <v>496</v>
      </c>
      <c r="G160" s="165">
        <v>367</v>
      </c>
      <c r="H160" s="165">
        <v>264</v>
      </c>
      <c r="I160" s="180">
        <f t="shared" si="68"/>
        <v>-0.28065395095367851</v>
      </c>
      <c r="J160" s="164">
        <f t="shared" si="67"/>
        <v>-103</v>
      </c>
      <c r="K160" s="166">
        <f t="shared" si="66"/>
        <v>1.2831997558031979E-4</v>
      </c>
    </row>
    <row r="161" spans="2:11" x14ac:dyDescent="0.25">
      <c r="B161" s="169" t="s">
        <v>147</v>
      </c>
      <c r="C161" s="170">
        <f t="shared" ref="C161" si="69">C153-SUM(C154:C160)</f>
        <v>2606</v>
      </c>
      <c r="D161" s="170">
        <f t="shared" ref="D161:H161" si="70">D153-SUM(D154:D160)</f>
        <v>2582</v>
      </c>
      <c r="E161" s="170">
        <f t="shared" si="70"/>
        <v>4805</v>
      </c>
      <c r="F161" s="170">
        <f t="shared" si="70"/>
        <v>5454</v>
      </c>
      <c r="G161" s="170">
        <f t="shared" si="70"/>
        <v>7553</v>
      </c>
      <c r="H161" s="170">
        <f t="shared" si="70"/>
        <v>7375</v>
      </c>
      <c r="I161" s="181">
        <f t="shared" si="68"/>
        <v>-2.3566794651131984E-2</v>
      </c>
      <c r="J161" s="169">
        <f>H161-G161</f>
        <v>-178</v>
      </c>
      <c r="K161" s="171">
        <f t="shared" si="66"/>
        <v>3.5846962875184037E-3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5AD54-CDE2-4974-B74F-A6BBCB6D6B46}">
  <sheetPr>
    <tabColor theme="7" tint="0.79998168889431442"/>
    <pageSetUpPr fitToPage="1"/>
  </sheetPr>
  <dimension ref="A1:W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3" max="13" width="11.42578125" customWidth="1"/>
    <col min="14" max="23" width="11.42578125" hidden="1" customWidth="1"/>
  </cols>
  <sheetData>
    <row r="1" spans="1:23" ht="42.75" customHeight="1" x14ac:dyDescent="0.25"/>
    <row r="4" spans="1:23" ht="42" customHeight="1" thickBot="1" x14ac:dyDescent="0.3">
      <c r="B4" s="278" t="str">
        <f>CONCATENATE("Viajeros entrados en los apartamentos de Tenerife según lugar de residencia y municipio de alojamiento")</f>
        <v>Viajeros entrados en los apartamentos de Tenerife según lugar de residencia y municipio de alojamiento</v>
      </c>
      <c r="C4" s="278"/>
      <c r="D4" s="278"/>
      <c r="E4" s="278"/>
      <c r="F4" s="278"/>
      <c r="G4" s="278"/>
      <c r="H4" s="278"/>
      <c r="I4" s="278"/>
      <c r="J4" s="145"/>
      <c r="K4" s="145"/>
      <c r="N4" s="144" t="s">
        <v>266</v>
      </c>
      <c r="O4" s="145"/>
      <c r="P4" s="145"/>
      <c r="Q4" s="145"/>
      <c r="R4" s="145"/>
      <c r="S4" s="145"/>
      <c r="T4" s="145"/>
      <c r="U4" s="145"/>
      <c r="V4" s="145"/>
      <c r="W4" s="145"/>
    </row>
    <row r="5" spans="1:23" ht="6" customHeight="1" x14ac:dyDescent="0.25"/>
    <row r="6" spans="1:23" ht="15.75" x14ac:dyDescent="0.25">
      <c r="B6" s="146"/>
      <c r="C6" s="311" t="s">
        <v>45</v>
      </c>
      <c r="D6" s="312"/>
      <c r="E6" s="312"/>
      <c r="F6" s="312"/>
      <c r="G6" s="312"/>
      <c r="H6" s="312"/>
      <c r="I6" s="312"/>
      <c r="J6" s="312"/>
      <c r="K6" s="312"/>
      <c r="N6" s="146"/>
      <c r="O6" s="311" t="s">
        <v>45</v>
      </c>
      <c r="P6" s="312"/>
      <c r="Q6" s="312"/>
      <c r="R6" s="312"/>
      <c r="S6" s="312"/>
      <c r="T6" s="312"/>
      <c r="U6" s="312"/>
      <c r="V6" s="312"/>
      <c r="W6" s="312"/>
    </row>
    <row r="7" spans="1:23" s="147" customFormat="1" ht="72" customHeight="1" x14ac:dyDescent="0.25">
      <c r="B7" s="148"/>
      <c r="C7" s="173" t="s">
        <v>259</v>
      </c>
      <c r="D7" s="173" t="s">
        <v>260</v>
      </c>
      <c r="E7" s="173" t="s">
        <v>261</v>
      </c>
      <c r="F7" s="173" t="s">
        <v>262</v>
      </c>
      <c r="G7" s="173" t="s">
        <v>263</v>
      </c>
      <c r="H7" s="173" t="s">
        <v>264</v>
      </c>
      <c r="I7" s="174" t="str">
        <f>CONCATENATE("var. ",RIGHT(H7,2),"/",RIGHT(G7,2))</f>
        <v>var. 25/24</v>
      </c>
      <c r="J7" s="173" t="str">
        <f>CONCATENATE("dif. ",RIGHT(H7,2),"/",RIGHT(G7,2))</f>
        <v>dif. 25/24</v>
      </c>
      <c r="K7" s="174" t="str">
        <f>CONCATENATE("Cuota s/ total lugares de residencia ",RIGHT(H7,4))</f>
        <v>Cuota s/ total lugares de residencia 2025</v>
      </c>
      <c r="N7" s="148"/>
      <c r="O7" s="173" t="s">
        <v>259</v>
      </c>
      <c r="P7" s="173" t="s">
        <v>260</v>
      </c>
      <c r="Q7" s="173" t="s">
        <v>261</v>
      </c>
      <c r="R7" s="173" t="s">
        <v>262</v>
      </c>
      <c r="S7" s="173" t="s">
        <v>263</v>
      </c>
      <c r="T7" s="173" t="s">
        <v>264</v>
      </c>
      <c r="U7" s="174" t="str">
        <f>CONCATENATE("var. ",RIGHT(T7,2),"/",RIGHT(S7,2))</f>
        <v>var. 25/24</v>
      </c>
      <c r="V7" s="173" t="str">
        <f>CONCATENATE("dif. ",RIGHT(T7,2),"/",RIGHT(S7,2))</f>
        <v>dif. 25/24</v>
      </c>
      <c r="W7" s="174" t="str">
        <f>CONCATENATE("Cuota s/ total lugares de residencia ",RIGHT(T7,4))</f>
        <v>Cuota s/ total lugares de residencia 2025</v>
      </c>
    </row>
    <row r="8" spans="1:23" x14ac:dyDescent="0.25">
      <c r="A8" s="1"/>
      <c r="B8" s="153" t="s">
        <v>45</v>
      </c>
      <c r="C8" s="154"/>
      <c r="D8" s="154"/>
      <c r="E8" s="154"/>
      <c r="F8" s="154"/>
      <c r="G8" s="154"/>
      <c r="H8" s="155"/>
      <c r="I8" s="155"/>
      <c r="J8" s="155"/>
      <c r="K8" s="154"/>
      <c r="N8" s="156" t="s">
        <v>53</v>
      </c>
      <c r="O8" s="154"/>
      <c r="P8" s="154"/>
      <c r="Q8" s="154"/>
      <c r="R8" s="154"/>
      <c r="S8" s="154"/>
      <c r="T8" s="155"/>
      <c r="U8" s="155"/>
      <c r="V8" s="155"/>
      <c r="W8" s="154"/>
    </row>
    <row r="9" spans="1:23" x14ac:dyDescent="0.25">
      <c r="A9" s="1" t="s">
        <v>98</v>
      </c>
      <c r="B9" s="157" t="s">
        <v>70</v>
      </c>
      <c r="C9" s="177">
        <f t="shared" ref="C9:H9" si="0">C10+C13</f>
        <v>222725</v>
      </c>
      <c r="D9" s="177">
        <f t="shared" si="0"/>
        <v>120154</v>
      </c>
      <c r="E9" s="177">
        <f t="shared" si="0"/>
        <v>448188</v>
      </c>
      <c r="F9" s="177">
        <f t="shared" si="0"/>
        <v>531189</v>
      </c>
      <c r="G9" s="177">
        <f t="shared" si="0"/>
        <v>584803</v>
      </c>
      <c r="H9" s="177">
        <f t="shared" si="0"/>
        <v>609335</v>
      </c>
      <c r="I9" s="178">
        <f>IFERROR(H9/G9-1,"-")</f>
        <v>4.1949169207408321E-2</v>
      </c>
      <c r="J9" s="177">
        <f t="shared" ref="J9:J21" si="1">H9-G9</f>
        <v>24532</v>
      </c>
      <c r="K9" s="178">
        <f t="shared" ref="K9:K21" si="2">H9/H$9</f>
        <v>1</v>
      </c>
      <c r="N9" s="157" t="s">
        <v>70</v>
      </c>
      <c r="O9" s="177" t="e">
        <f t="shared" ref="O9:T9" si="3">O10+O13</f>
        <v>#REF!</v>
      </c>
      <c r="P9" s="177" t="e">
        <f t="shared" si="3"/>
        <v>#REF!</v>
      </c>
      <c r="Q9" s="177" t="e">
        <f t="shared" si="3"/>
        <v>#REF!</v>
      </c>
      <c r="R9" s="177" t="e">
        <f t="shared" si="3"/>
        <v>#REF!</v>
      </c>
      <c r="S9" s="177" t="e">
        <f t="shared" si="3"/>
        <v>#REF!</v>
      </c>
      <c r="T9" s="177" t="e">
        <f t="shared" si="3"/>
        <v>#REF!</v>
      </c>
      <c r="U9" s="178" t="str">
        <f>IFERROR(T9/S9-1,"-")</f>
        <v>-</v>
      </c>
      <c r="V9" s="177" t="e">
        <f>T9-S9</f>
        <v>#REF!</v>
      </c>
      <c r="W9" s="178" t="e">
        <f t="shared" ref="W9:W21" si="4">T9/T$9</f>
        <v>#REF!</v>
      </c>
    </row>
    <row r="10" spans="1:23" x14ac:dyDescent="0.25">
      <c r="A10" s="163" t="s">
        <v>105</v>
      </c>
      <c r="B10" s="160" t="s">
        <v>99</v>
      </c>
      <c r="C10" s="161">
        <v>17411</v>
      </c>
      <c r="D10" s="161">
        <v>54458</v>
      </c>
      <c r="E10" s="161">
        <v>64008</v>
      </c>
      <c r="F10" s="161">
        <v>70697</v>
      </c>
      <c r="G10" s="161">
        <v>73909</v>
      </c>
      <c r="H10" s="161">
        <v>79052</v>
      </c>
      <c r="I10" s="179">
        <f>IFERROR(H10/G10-1,"-")</f>
        <v>6.9585571445967442E-2</v>
      </c>
      <c r="J10" s="160">
        <f t="shared" si="1"/>
        <v>5143</v>
      </c>
      <c r="K10" s="162">
        <f t="shared" si="2"/>
        <v>0.12973487490460911</v>
      </c>
      <c r="N10" s="160" t="s">
        <v>99</v>
      </c>
      <c r="O10" s="161" t="e">
        <v>#REF!</v>
      </c>
      <c r="P10" s="161" t="e">
        <v>#REF!</v>
      </c>
      <c r="Q10" s="161" t="e">
        <v>#REF!</v>
      </c>
      <c r="R10" s="161" t="e">
        <v>#REF!</v>
      </c>
      <c r="S10" s="161" t="e">
        <v>#REF!</v>
      </c>
      <c r="T10" s="161" t="e">
        <v>#REF!</v>
      </c>
      <c r="U10" s="179" t="str">
        <f>IFERROR(T10/S10-1,"-")</f>
        <v>-</v>
      </c>
      <c r="V10" s="160" t="e">
        <f t="shared" ref="V10:V20" si="5">T10-S10</f>
        <v>#REF!</v>
      </c>
      <c r="W10" s="162" t="e">
        <f t="shared" si="4"/>
        <v>#REF!</v>
      </c>
    </row>
    <row r="11" spans="1:23" x14ac:dyDescent="0.25">
      <c r="A11" s="163" t="s">
        <v>102</v>
      </c>
      <c r="B11" s="164" t="s">
        <v>105</v>
      </c>
      <c r="C11" s="165">
        <v>10079</v>
      </c>
      <c r="D11" s="165">
        <v>42629</v>
      </c>
      <c r="E11" s="165">
        <v>36843</v>
      </c>
      <c r="F11" s="165">
        <v>39544</v>
      </c>
      <c r="G11" s="165">
        <v>35953</v>
      </c>
      <c r="H11" s="165">
        <v>30760</v>
      </c>
      <c r="I11" s="180">
        <f>IFERROR(H11/G11-1,"-")</f>
        <v>-0.14443857258086945</v>
      </c>
      <c r="J11" s="164">
        <f t="shared" si="1"/>
        <v>-5193</v>
      </c>
      <c r="K11" s="166">
        <f t="shared" si="2"/>
        <v>5.0481262359785666E-2</v>
      </c>
      <c r="N11" s="164" t="s">
        <v>105</v>
      </c>
      <c r="O11" s="165" t="e">
        <v>#REF!</v>
      </c>
      <c r="P11" s="165" t="e">
        <v>#REF!</v>
      </c>
      <c r="Q11" s="165" t="e">
        <v>#REF!</v>
      </c>
      <c r="R11" s="165" t="e">
        <v>#REF!</v>
      </c>
      <c r="S11" s="165" t="e">
        <v>#REF!</v>
      </c>
      <c r="T11" s="165" t="e">
        <v>#REF!</v>
      </c>
      <c r="U11" s="180" t="str">
        <f>IFERROR(T11/S11-1,"-")</f>
        <v>-</v>
      </c>
      <c r="V11" s="164" t="e">
        <f t="shared" si="5"/>
        <v>#REF!</v>
      </c>
      <c r="W11" s="166" t="e">
        <f>T11/T$9</f>
        <v>#REF!</v>
      </c>
    </row>
    <row r="12" spans="1:23" x14ac:dyDescent="0.25">
      <c r="A12" s="1"/>
      <c r="B12" s="164" t="s">
        <v>102</v>
      </c>
      <c r="C12" s="165">
        <v>7332</v>
      </c>
      <c r="D12" s="165">
        <v>11829</v>
      </c>
      <c r="E12" s="165">
        <v>27165</v>
      </c>
      <c r="F12" s="165">
        <v>31153</v>
      </c>
      <c r="G12" s="165">
        <v>37956</v>
      </c>
      <c r="H12" s="165">
        <v>48292</v>
      </c>
      <c r="I12" s="180">
        <f>IFERROR(H12/G12-1,"-")</f>
        <v>0.27231531246706719</v>
      </c>
      <c r="J12" s="164">
        <f t="shared" si="1"/>
        <v>10336</v>
      </c>
      <c r="K12" s="166">
        <f t="shared" si="2"/>
        <v>7.9253612544823451E-2</v>
      </c>
      <c r="N12" s="164" t="s">
        <v>102</v>
      </c>
      <c r="O12" s="165" t="e">
        <v>#REF!</v>
      </c>
      <c r="P12" s="165" t="e">
        <v>#REF!</v>
      </c>
      <c r="Q12" s="165" t="e">
        <v>#REF!</v>
      </c>
      <c r="R12" s="165" t="e">
        <v>#REF!</v>
      </c>
      <c r="S12" s="165" t="e">
        <v>#REF!</v>
      </c>
      <c r="T12" s="165" t="e">
        <v>#REF!</v>
      </c>
      <c r="U12" s="180" t="str">
        <f>IFERROR(T12/S12-1,"-")</f>
        <v>-</v>
      </c>
      <c r="V12" s="164" t="e">
        <f t="shared" si="5"/>
        <v>#REF!</v>
      </c>
      <c r="W12" s="166" t="e">
        <f t="shared" si="4"/>
        <v>#REF!</v>
      </c>
    </row>
    <row r="13" spans="1:23" s="57" customFormat="1" x14ac:dyDescent="0.25">
      <c r="B13" s="160" t="s">
        <v>109</v>
      </c>
      <c r="C13" s="161">
        <v>205314</v>
      </c>
      <c r="D13" s="161">
        <v>65696</v>
      </c>
      <c r="E13" s="161">
        <v>384180</v>
      </c>
      <c r="F13" s="161">
        <v>460492</v>
      </c>
      <c r="G13" s="161">
        <v>510894</v>
      </c>
      <c r="H13" s="161">
        <v>530283</v>
      </c>
      <c r="I13" s="179">
        <f>IFERROR(H13/G13-1,"-")</f>
        <v>3.7951120976171149E-2</v>
      </c>
      <c r="J13" s="160">
        <f t="shared" si="1"/>
        <v>19389</v>
      </c>
      <c r="K13" s="162">
        <f t="shared" si="2"/>
        <v>0.87026512509539089</v>
      </c>
      <c r="N13" s="160" t="s">
        <v>109</v>
      </c>
      <c r="O13" s="161" t="e">
        <v>#REF!</v>
      </c>
      <c r="P13" s="161" t="e">
        <v>#REF!</v>
      </c>
      <c r="Q13" s="161" t="e">
        <v>#REF!</v>
      </c>
      <c r="R13" s="161" t="e">
        <v>#REF!</v>
      </c>
      <c r="S13" s="161" t="e">
        <v>#REF!</v>
      </c>
      <c r="T13" s="161" t="e">
        <v>#REF!</v>
      </c>
      <c r="U13" s="179" t="str">
        <f>IFERROR(T13/S13-1,"-")</f>
        <v>-</v>
      </c>
      <c r="V13" s="160" t="e">
        <f t="shared" si="5"/>
        <v>#REF!</v>
      </c>
      <c r="W13" s="162" t="e">
        <f t="shared" si="4"/>
        <v>#REF!</v>
      </c>
    </row>
    <row r="14" spans="1:23" s="57" customFormat="1" x14ac:dyDescent="0.25">
      <c r="B14" s="164" t="s">
        <v>112</v>
      </c>
      <c r="C14" s="165">
        <v>88139</v>
      </c>
      <c r="D14" s="165">
        <v>3976</v>
      </c>
      <c r="E14" s="165">
        <v>173473</v>
      </c>
      <c r="F14" s="165">
        <v>224268</v>
      </c>
      <c r="G14" s="165">
        <v>262972</v>
      </c>
      <c r="H14" s="165">
        <v>273736</v>
      </c>
      <c r="I14" s="180">
        <f t="shared" ref="I14:I21" si="6">IFERROR(H14/G14-1,"-")</f>
        <v>4.0932114445644485E-2</v>
      </c>
      <c r="J14" s="164">
        <f t="shared" si="1"/>
        <v>10764</v>
      </c>
      <c r="K14" s="166">
        <f t="shared" si="2"/>
        <v>0.44923728326782475</v>
      </c>
      <c r="N14" s="164" t="s">
        <v>112</v>
      </c>
      <c r="O14" s="165" t="e">
        <v>#REF!</v>
      </c>
      <c r="P14" s="165" t="e">
        <v>#REF!</v>
      </c>
      <c r="Q14" s="165" t="e">
        <v>#REF!</v>
      </c>
      <c r="R14" s="165" t="e">
        <v>#REF!</v>
      </c>
      <c r="S14" s="165" t="e">
        <v>#REF!</v>
      </c>
      <c r="T14" s="165" t="e">
        <v>#REF!</v>
      </c>
      <c r="U14" s="180" t="str">
        <f t="shared" ref="U14:U21" si="7">IFERROR(T14/S14-1,"-")</f>
        <v>-</v>
      </c>
      <c r="V14" s="164" t="e">
        <f t="shared" si="5"/>
        <v>#REF!</v>
      </c>
      <c r="W14" s="166" t="e">
        <f t="shared" si="4"/>
        <v>#REF!</v>
      </c>
    </row>
    <row r="15" spans="1:23" x14ac:dyDescent="0.25">
      <c r="A15" s="1"/>
      <c r="B15" s="164" t="s">
        <v>115</v>
      </c>
      <c r="C15" s="165">
        <v>14632</v>
      </c>
      <c r="D15" s="165">
        <v>6640</v>
      </c>
      <c r="E15" s="165">
        <v>22911</v>
      </c>
      <c r="F15" s="165">
        <v>24944</v>
      </c>
      <c r="G15" s="165">
        <v>27953</v>
      </c>
      <c r="H15" s="165">
        <v>30205</v>
      </c>
      <c r="I15" s="180">
        <f t="shared" si="6"/>
        <v>8.0563803527349487E-2</v>
      </c>
      <c r="J15" s="164">
        <f t="shared" si="1"/>
        <v>2252</v>
      </c>
      <c r="K15" s="166">
        <f t="shared" si="2"/>
        <v>4.9570433341265478E-2</v>
      </c>
      <c r="N15" s="164" t="s">
        <v>115</v>
      </c>
      <c r="O15" s="165" t="e">
        <v>#REF!</v>
      </c>
      <c r="P15" s="165" t="e">
        <v>#REF!</v>
      </c>
      <c r="Q15" s="165" t="e">
        <v>#REF!</v>
      </c>
      <c r="R15" s="165" t="e">
        <v>#REF!</v>
      </c>
      <c r="S15" s="165" t="e">
        <v>#REF!</v>
      </c>
      <c r="T15" s="165" t="e">
        <v>#REF!</v>
      </c>
      <c r="U15" s="180" t="str">
        <f t="shared" si="7"/>
        <v>-</v>
      </c>
      <c r="V15" s="164" t="e">
        <f t="shared" si="5"/>
        <v>#REF!</v>
      </c>
      <c r="W15" s="166" t="e">
        <f t="shared" si="4"/>
        <v>#REF!</v>
      </c>
    </row>
    <row r="16" spans="1:23" x14ac:dyDescent="0.25">
      <c r="A16" s="1"/>
      <c r="B16" s="164" t="s">
        <v>118</v>
      </c>
      <c r="C16" s="165">
        <v>5438</v>
      </c>
      <c r="D16" s="165">
        <v>9210</v>
      </c>
      <c r="E16" s="165">
        <v>14706</v>
      </c>
      <c r="F16" s="165">
        <v>18119</v>
      </c>
      <c r="G16" s="165">
        <v>19830</v>
      </c>
      <c r="H16" s="165">
        <v>19971</v>
      </c>
      <c r="I16" s="180">
        <f t="shared" si="6"/>
        <v>7.110438729198254E-3</v>
      </c>
      <c r="J16" s="164">
        <f t="shared" si="1"/>
        <v>141</v>
      </c>
      <c r="K16" s="166">
        <f t="shared" si="2"/>
        <v>3.2775074466426517E-2</v>
      </c>
      <c r="N16" s="164" t="s">
        <v>118</v>
      </c>
      <c r="O16" s="165" t="e">
        <v>#REF!</v>
      </c>
      <c r="P16" s="165" t="e">
        <v>#REF!</v>
      </c>
      <c r="Q16" s="165" t="e">
        <v>#REF!</v>
      </c>
      <c r="R16" s="165" t="e">
        <v>#REF!</v>
      </c>
      <c r="S16" s="165" t="e">
        <v>#REF!</v>
      </c>
      <c r="T16" s="165" t="e">
        <v>#REF!</v>
      </c>
      <c r="U16" s="180" t="str">
        <f t="shared" si="7"/>
        <v>-</v>
      </c>
      <c r="V16" s="164" t="e">
        <f t="shared" si="5"/>
        <v>#REF!</v>
      </c>
      <c r="W16" s="166" t="e">
        <f t="shared" si="4"/>
        <v>#REF!</v>
      </c>
    </row>
    <row r="17" spans="1:23" x14ac:dyDescent="0.25">
      <c r="A17" s="1"/>
      <c r="B17" s="164" t="s">
        <v>125</v>
      </c>
      <c r="C17" s="165">
        <v>8166</v>
      </c>
      <c r="D17" s="165">
        <v>3453</v>
      </c>
      <c r="E17" s="165">
        <v>23696</v>
      </c>
      <c r="F17" s="165">
        <v>21392</v>
      </c>
      <c r="G17" s="165">
        <v>22449</v>
      </c>
      <c r="H17" s="165">
        <v>20579</v>
      </c>
      <c r="I17" s="180">
        <f t="shared" si="6"/>
        <v>-8.3299924272796089E-2</v>
      </c>
      <c r="J17" s="164">
        <f t="shared" si="1"/>
        <v>-1870</v>
      </c>
      <c r="K17" s="166">
        <f t="shared" si="2"/>
        <v>3.3772883553381969E-2</v>
      </c>
      <c r="N17" s="164" t="s">
        <v>125</v>
      </c>
      <c r="O17" s="165" t="e">
        <v>#REF!</v>
      </c>
      <c r="P17" s="165" t="e">
        <v>#REF!</v>
      </c>
      <c r="Q17" s="165" t="e">
        <v>#REF!</v>
      </c>
      <c r="R17" s="165" t="e">
        <v>#REF!</v>
      </c>
      <c r="S17" s="165" t="e">
        <v>#REF!</v>
      </c>
      <c r="T17" s="165" t="e">
        <v>#REF!</v>
      </c>
      <c r="U17" s="180" t="str">
        <f t="shared" si="7"/>
        <v>-</v>
      </c>
      <c r="V17" s="164" t="e">
        <f t="shared" si="5"/>
        <v>#REF!</v>
      </c>
      <c r="W17" s="166" t="e">
        <f t="shared" si="4"/>
        <v>#REF!</v>
      </c>
    </row>
    <row r="18" spans="1:23" x14ac:dyDescent="0.25">
      <c r="A18" s="1"/>
      <c r="B18" s="164" t="s">
        <v>121</v>
      </c>
      <c r="C18" s="165">
        <v>3282</v>
      </c>
      <c r="D18" s="165">
        <v>2026</v>
      </c>
      <c r="E18" s="165">
        <v>7138</v>
      </c>
      <c r="F18" s="165">
        <v>7392</v>
      </c>
      <c r="G18" s="165">
        <v>8548</v>
      </c>
      <c r="H18" s="165">
        <v>7607</v>
      </c>
      <c r="I18" s="180">
        <f t="shared" si="6"/>
        <v>-0.11008423022929337</v>
      </c>
      <c r="J18" s="164">
        <f t="shared" si="1"/>
        <v>-941</v>
      </c>
      <c r="K18" s="166">
        <f t="shared" si="2"/>
        <v>1.2484101520510065E-2</v>
      </c>
      <c r="N18" s="164" t="s">
        <v>121</v>
      </c>
      <c r="O18" s="165" t="e">
        <v>#REF!</v>
      </c>
      <c r="P18" s="165" t="e">
        <v>#REF!</v>
      </c>
      <c r="Q18" s="165" t="e">
        <v>#REF!</v>
      </c>
      <c r="R18" s="165" t="e">
        <v>#REF!</v>
      </c>
      <c r="S18" s="165" t="e">
        <v>#REF!</v>
      </c>
      <c r="T18" s="165" t="e">
        <v>#REF!</v>
      </c>
      <c r="U18" s="180" t="str">
        <f t="shared" si="7"/>
        <v>-</v>
      </c>
      <c r="V18" s="164" t="e">
        <f t="shared" si="5"/>
        <v>#REF!</v>
      </c>
      <c r="W18" s="166" t="e">
        <f t="shared" si="4"/>
        <v>#REF!</v>
      </c>
    </row>
    <row r="19" spans="1:23" x14ac:dyDescent="0.25">
      <c r="A19" s="163" t="s">
        <v>146</v>
      </c>
      <c r="B19" s="164" t="s">
        <v>130</v>
      </c>
      <c r="C19" s="165">
        <v>10352</v>
      </c>
      <c r="D19" s="165">
        <v>371</v>
      </c>
      <c r="E19" s="165">
        <v>11326</v>
      </c>
      <c r="F19" s="165">
        <v>14221</v>
      </c>
      <c r="G19" s="165">
        <v>12628</v>
      </c>
      <c r="H19" s="165">
        <v>12547</v>
      </c>
      <c r="I19" s="180">
        <f t="shared" si="6"/>
        <v>-6.4143173899271488E-3</v>
      </c>
      <c r="J19" s="164">
        <f t="shared" si="1"/>
        <v>-81</v>
      </c>
      <c r="K19" s="166">
        <f t="shared" si="2"/>
        <v>2.0591300352023108E-2</v>
      </c>
      <c r="N19" s="164" t="s">
        <v>130</v>
      </c>
      <c r="O19" s="165" t="e">
        <v>#REF!</v>
      </c>
      <c r="P19" s="165" t="e">
        <v>#REF!</v>
      </c>
      <c r="Q19" s="165" t="e">
        <v>#REF!</v>
      </c>
      <c r="R19" s="165" t="e">
        <v>#REF!</v>
      </c>
      <c r="S19" s="165" t="e">
        <v>#REF!</v>
      </c>
      <c r="T19" s="165" t="e">
        <v>#REF!</v>
      </c>
      <c r="U19" s="180" t="str">
        <f t="shared" si="7"/>
        <v>-</v>
      </c>
      <c r="V19" s="164" t="e">
        <f t="shared" si="5"/>
        <v>#REF!</v>
      </c>
      <c r="W19" s="166" t="e">
        <f t="shared" si="4"/>
        <v>#REF!</v>
      </c>
    </row>
    <row r="20" spans="1:23" x14ac:dyDescent="0.25">
      <c r="A20" s="168" t="s">
        <v>147</v>
      </c>
      <c r="B20" s="164" t="s">
        <v>133</v>
      </c>
      <c r="C20" s="165">
        <v>16006</v>
      </c>
      <c r="D20" s="165">
        <v>1256</v>
      </c>
      <c r="E20" s="165">
        <v>10525</v>
      </c>
      <c r="F20" s="165">
        <v>14028</v>
      </c>
      <c r="G20" s="165">
        <v>16536</v>
      </c>
      <c r="H20" s="165">
        <v>11865</v>
      </c>
      <c r="I20" s="180">
        <f t="shared" si="6"/>
        <v>-0.28247460087082732</v>
      </c>
      <c r="J20" s="164">
        <f t="shared" si="1"/>
        <v>-4671</v>
      </c>
      <c r="K20" s="166">
        <f t="shared" si="2"/>
        <v>1.9472047395931631E-2</v>
      </c>
      <c r="N20" s="164" t="s">
        <v>133</v>
      </c>
      <c r="O20" s="165" t="e">
        <v>#REF!</v>
      </c>
      <c r="P20" s="165" t="e">
        <v>#REF!</v>
      </c>
      <c r="Q20" s="165" t="e">
        <v>#REF!</v>
      </c>
      <c r="R20" s="165" t="e">
        <v>#REF!</v>
      </c>
      <c r="S20" s="165" t="e">
        <v>#REF!</v>
      </c>
      <c r="T20" s="165" t="e">
        <v>#REF!</v>
      </c>
      <c r="U20" s="180" t="str">
        <f t="shared" si="7"/>
        <v>-</v>
      </c>
      <c r="V20" s="164" t="e">
        <f t="shared" si="5"/>
        <v>#REF!</v>
      </c>
      <c r="W20" s="166" t="e">
        <f t="shared" si="4"/>
        <v>#REF!</v>
      </c>
    </row>
    <row r="21" spans="1:23" x14ac:dyDescent="0.25">
      <c r="B21" s="169" t="s">
        <v>147</v>
      </c>
      <c r="C21" s="170">
        <f t="shared" ref="C21" si="8">C13-SUM(C14:C20)</f>
        <v>59299</v>
      </c>
      <c r="D21" s="170">
        <f t="shared" ref="D21:H21" si="9">D13-SUM(D14:D20)</f>
        <v>38764</v>
      </c>
      <c r="E21" s="170">
        <f t="shared" si="9"/>
        <v>120405</v>
      </c>
      <c r="F21" s="170">
        <f t="shared" si="9"/>
        <v>136128</v>
      </c>
      <c r="G21" s="170">
        <f t="shared" si="9"/>
        <v>139978</v>
      </c>
      <c r="H21" s="170">
        <f t="shared" si="9"/>
        <v>153773</v>
      </c>
      <c r="I21" s="181">
        <f t="shared" si="6"/>
        <v>9.8551200902998959E-2</v>
      </c>
      <c r="J21" s="169">
        <f t="shared" si="1"/>
        <v>13795</v>
      </c>
      <c r="K21" s="171">
        <f t="shared" si="2"/>
        <v>0.25236200119802737</v>
      </c>
      <c r="N21" s="169" t="s">
        <v>147</v>
      </c>
      <c r="O21" s="170" t="e">
        <f t="shared" ref="O21:T21" si="10">O13-SUM(O14:O20)</f>
        <v>#REF!</v>
      </c>
      <c r="P21" s="170" t="e">
        <f t="shared" si="10"/>
        <v>#REF!</v>
      </c>
      <c r="Q21" s="170" t="e">
        <f t="shared" si="10"/>
        <v>#REF!</v>
      </c>
      <c r="R21" s="170" t="e">
        <f t="shared" si="10"/>
        <v>#REF!</v>
      </c>
      <c r="S21" s="170" t="e">
        <f t="shared" si="10"/>
        <v>#REF!</v>
      </c>
      <c r="T21" s="170" t="e">
        <f t="shared" si="10"/>
        <v>#REF!</v>
      </c>
      <c r="U21" s="181" t="str">
        <f t="shared" si="7"/>
        <v>-</v>
      </c>
      <c r="V21" s="169" t="e">
        <f>T21-S21</f>
        <v>#REF!</v>
      </c>
      <c r="W21" s="171" t="e">
        <f t="shared" si="4"/>
        <v>#REF!</v>
      </c>
    </row>
    <row r="22" spans="1:23" x14ac:dyDescent="0.25">
      <c r="B22" s="156" t="s">
        <v>46</v>
      </c>
      <c r="C22" s="154"/>
      <c r="D22" s="154"/>
      <c r="E22" s="154"/>
      <c r="F22" s="154"/>
      <c r="G22" s="154"/>
      <c r="H22" s="154"/>
      <c r="I22" s="155"/>
      <c r="J22" s="155"/>
      <c r="K22" s="154"/>
    </row>
    <row r="23" spans="1:23" x14ac:dyDescent="0.25">
      <c r="B23" s="157" t="s">
        <v>70</v>
      </c>
      <c r="C23" s="177">
        <f t="shared" ref="C23:H23" si="11">C24+C27</f>
        <v>64346</v>
      </c>
      <c r="D23" s="177">
        <f t="shared" si="11"/>
        <v>36673</v>
      </c>
      <c r="E23" s="177">
        <f t="shared" si="11"/>
        <v>114534</v>
      </c>
      <c r="F23" s="177">
        <f t="shared" si="11"/>
        <v>164897</v>
      </c>
      <c r="G23" s="177">
        <f t="shared" si="11"/>
        <v>176901</v>
      </c>
      <c r="H23" s="177">
        <f t="shared" si="11"/>
        <v>182254</v>
      </c>
      <c r="I23" s="178">
        <f>IFERROR(H23/G23-1,"-")</f>
        <v>3.0259862861148346E-2</v>
      </c>
      <c r="J23" s="177">
        <f>H23-G23</f>
        <v>5353</v>
      </c>
      <c r="K23" s="178">
        <f t="shared" ref="K23:K35" si="12">H23/H$9</f>
        <v>0.29910312061509681</v>
      </c>
    </row>
    <row r="24" spans="1:23" x14ac:dyDescent="0.25">
      <c r="B24" s="160" t="s">
        <v>99</v>
      </c>
      <c r="C24" s="161">
        <v>3630</v>
      </c>
      <c r="D24" s="161">
        <v>20337</v>
      </c>
      <c r="E24" s="161">
        <v>13840</v>
      </c>
      <c r="F24" s="161">
        <v>17390</v>
      </c>
      <c r="G24" s="161">
        <v>15159</v>
      </c>
      <c r="H24" s="161">
        <v>14333</v>
      </c>
      <c r="I24" s="179">
        <f>IFERROR(H24/G24-1,"-")</f>
        <v>-5.448908239329775E-2</v>
      </c>
      <c r="J24" s="160">
        <f t="shared" ref="J24:J34" si="13">H24-G24</f>
        <v>-826</v>
      </c>
      <c r="K24" s="162">
        <f t="shared" si="12"/>
        <v>2.3522364544954745E-2</v>
      </c>
    </row>
    <row r="25" spans="1:23" x14ac:dyDescent="0.25">
      <c r="B25" s="164" t="s">
        <v>105</v>
      </c>
      <c r="C25" s="165">
        <v>2906</v>
      </c>
      <c r="D25" s="165">
        <v>16377</v>
      </c>
      <c r="E25" s="165">
        <v>8204</v>
      </c>
      <c r="F25" s="165">
        <v>9160</v>
      </c>
      <c r="G25" s="165">
        <v>7687</v>
      </c>
      <c r="H25" s="165">
        <v>5327</v>
      </c>
      <c r="I25" s="180">
        <f>IFERROR(H25/G25-1,"-")</f>
        <v>-0.3070118381683361</v>
      </c>
      <c r="J25" s="164">
        <f t="shared" si="13"/>
        <v>-2360</v>
      </c>
      <c r="K25" s="166">
        <f t="shared" si="12"/>
        <v>8.7423174444271213E-3</v>
      </c>
    </row>
    <row r="26" spans="1:23" x14ac:dyDescent="0.25">
      <c r="B26" s="164" t="s">
        <v>102</v>
      </c>
      <c r="C26" s="165">
        <v>724</v>
      </c>
      <c r="D26" s="165">
        <v>3960</v>
      </c>
      <c r="E26" s="165">
        <v>5636</v>
      </c>
      <c r="F26" s="165">
        <v>8230</v>
      </c>
      <c r="G26" s="165">
        <v>7472</v>
      </c>
      <c r="H26" s="165">
        <v>9006</v>
      </c>
      <c r="I26" s="180">
        <f>IFERROR(H26/G26-1,"-")</f>
        <v>0.20529978586723763</v>
      </c>
      <c r="J26" s="164">
        <f t="shared" si="13"/>
        <v>1534</v>
      </c>
      <c r="K26" s="166">
        <f t="shared" si="12"/>
        <v>1.4780047100527624E-2</v>
      </c>
    </row>
    <row r="27" spans="1:23" x14ac:dyDescent="0.25">
      <c r="B27" s="160" t="s">
        <v>109</v>
      </c>
      <c r="C27" s="161">
        <v>60716</v>
      </c>
      <c r="D27" s="161">
        <v>16336</v>
      </c>
      <c r="E27" s="161">
        <v>100694</v>
      </c>
      <c r="F27" s="161">
        <v>147507</v>
      </c>
      <c r="G27" s="161">
        <v>161742</v>
      </c>
      <c r="H27" s="161">
        <v>167921</v>
      </c>
      <c r="I27" s="179">
        <f>IFERROR(H27/G27-1,"-")</f>
        <v>3.8202816831744313E-2</v>
      </c>
      <c r="J27" s="160">
        <f t="shared" si="13"/>
        <v>6179</v>
      </c>
      <c r="K27" s="162">
        <f t="shared" si="12"/>
        <v>0.27558075607014204</v>
      </c>
    </row>
    <row r="28" spans="1:23" x14ac:dyDescent="0.25">
      <c r="B28" s="164" t="s">
        <v>112</v>
      </c>
      <c r="C28" s="165">
        <v>32787</v>
      </c>
      <c r="D28" s="165">
        <v>1599</v>
      </c>
      <c r="E28" s="165">
        <v>49539</v>
      </c>
      <c r="F28" s="165">
        <v>81047</v>
      </c>
      <c r="G28" s="165">
        <v>93632</v>
      </c>
      <c r="H28" s="165">
        <v>100511</v>
      </c>
      <c r="I28" s="180">
        <f t="shared" ref="I28:I35" si="14">IFERROR(H28/G28-1,"-")</f>
        <v>7.3468472317156586E-2</v>
      </c>
      <c r="J28" s="164">
        <f t="shared" si="13"/>
        <v>6879</v>
      </c>
      <c r="K28" s="166">
        <f t="shared" si="12"/>
        <v>0.16495195582068978</v>
      </c>
    </row>
    <row r="29" spans="1:23" x14ac:dyDescent="0.25">
      <c r="B29" s="164" t="s">
        <v>115</v>
      </c>
      <c r="C29" s="165">
        <v>5288</v>
      </c>
      <c r="D29" s="165">
        <v>1941</v>
      </c>
      <c r="E29" s="165">
        <v>6635</v>
      </c>
      <c r="F29" s="165">
        <v>7480</v>
      </c>
      <c r="G29" s="165">
        <v>8225</v>
      </c>
      <c r="H29" s="165">
        <v>7645</v>
      </c>
      <c r="I29" s="180">
        <f t="shared" si="14"/>
        <v>-7.0516717325228018E-2</v>
      </c>
      <c r="J29" s="164">
        <f t="shared" si="13"/>
        <v>-580</v>
      </c>
      <c r="K29" s="166">
        <f t="shared" si="12"/>
        <v>1.2546464588444779E-2</v>
      </c>
    </row>
    <row r="30" spans="1:23" x14ac:dyDescent="0.25">
      <c r="B30" s="164" t="s">
        <v>118</v>
      </c>
      <c r="C30" s="165">
        <v>1832</v>
      </c>
      <c r="D30" s="165">
        <v>2410</v>
      </c>
      <c r="E30" s="165">
        <v>4805</v>
      </c>
      <c r="F30" s="165">
        <v>7642</v>
      </c>
      <c r="G30" s="165">
        <v>9164</v>
      </c>
      <c r="H30" s="165">
        <v>5744</v>
      </c>
      <c r="I30" s="180">
        <f t="shared" si="14"/>
        <v>-0.37319947621126148</v>
      </c>
      <c r="J30" s="164">
        <f t="shared" si="13"/>
        <v>-3420</v>
      </c>
      <c r="K30" s="166">
        <f t="shared" si="12"/>
        <v>9.4266700583422909E-3</v>
      </c>
    </row>
    <row r="31" spans="1:23" x14ac:dyDescent="0.25">
      <c r="B31" s="164" t="s">
        <v>125</v>
      </c>
      <c r="C31" s="165">
        <v>2275</v>
      </c>
      <c r="D31" s="165">
        <v>864</v>
      </c>
      <c r="E31" s="165">
        <v>5793</v>
      </c>
      <c r="F31" s="165">
        <v>6454</v>
      </c>
      <c r="G31" s="165">
        <v>5330</v>
      </c>
      <c r="H31" s="165">
        <v>4986</v>
      </c>
      <c r="I31" s="180">
        <f t="shared" si="14"/>
        <v>-6.4540337711069373E-2</v>
      </c>
      <c r="J31" s="164">
        <f t="shared" si="13"/>
        <v>-344</v>
      </c>
      <c r="K31" s="166">
        <f t="shared" si="12"/>
        <v>8.1826909663813823E-3</v>
      </c>
    </row>
    <row r="32" spans="1:23" x14ac:dyDescent="0.25">
      <c r="B32" s="164" t="s">
        <v>121</v>
      </c>
      <c r="C32" s="165">
        <v>1200</v>
      </c>
      <c r="D32" s="165">
        <v>809</v>
      </c>
      <c r="E32" s="165">
        <v>2390</v>
      </c>
      <c r="F32" s="165">
        <v>2533</v>
      </c>
      <c r="G32" s="165">
        <v>2649</v>
      </c>
      <c r="H32" s="165">
        <v>2395</v>
      </c>
      <c r="I32" s="180">
        <f t="shared" si="14"/>
        <v>-9.5885239713099257E-2</v>
      </c>
      <c r="J32" s="164">
        <f t="shared" si="13"/>
        <v>-254</v>
      </c>
      <c r="K32" s="166">
        <f t="shared" si="12"/>
        <v>3.9305144132537927E-3</v>
      </c>
    </row>
    <row r="33" spans="2:11" x14ac:dyDescent="0.25">
      <c r="B33" s="164" t="s">
        <v>130</v>
      </c>
      <c r="C33" s="165">
        <v>1994</v>
      </c>
      <c r="D33" s="165">
        <v>42</v>
      </c>
      <c r="E33" s="165">
        <v>1391</v>
      </c>
      <c r="F33" s="165">
        <v>2350</v>
      </c>
      <c r="G33" s="165">
        <v>1758</v>
      </c>
      <c r="H33" s="165">
        <v>2156</v>
      </c>
      <c r="I33" s="180">
        <f t="shared" si="14"/>
        <v>0.22639362912400451</v>
      </c>
      <c r="J33" s="164">
        <f t="shared" si="13"/>
        <v>398</v>
      </c>
      <c r="K33" s="166">
        <f t="shared" si="12"/>
        <v>3.5382835386117651E-3</v>
      </c>
    </row>
    <row r="34" spans="2:11" x14ac:dyDescent="0.25">
      <c r="B34" s="164" t="s">
        <v>133</v>
      </c>
      <c r="C34" s="165">
        <v>1701</v>
      </c>
      <c r="D34" s="165">
        <v>137</v>
      </c>
      <c r="E34" s="165">
        <v>824</v>
      </c>
      <c r="F34" s="165">
        <v>1933</v>
      </c>
      <c r="G34" s="165">
        <v>2136</v>
      </c>
      <c r="H34" s="165">
        <v>1217</v>
      </c>
      <c r="I34" s="180">
        <f t="shared" si="14"/>
        <v>-0.43024344569288386</v>
      </c>
      <c r="J34" s="164">
        <f t="shared" si="13"/>
        <v>-919</v>
      </c>
      <c r="K34" s="166">
        <f t="shared" si="12"/>
        <v>1.9972593072776061E-3</v>
      </c>
    </row>
    <row r="35" spans="2:11" x14ac:dyDescent="0.25">
      <c r="B35" s="169" t="s">
        <v>147</v>
      </c>
      <c r="C35" s="170">
        <f t="shared" ref="C35" si="15">C27-SUM(C28:C34)</f>
        <v>13639</v>
      </c>
      <c r="D35" s="170">
        <f t="shared" ref="D35:H35" si="16">D27-SUM(D28:D34)</f>
        <v>8534</v>
      </c>
      <c r="E35" s="170">
        <f t="shared" si="16"/>
        <v>29317</v>
      </c>
      <c r="F35" s="170">
        <f t="shared" si="16"/>
        <v>38068</v>
      </c>
      <c r="G35" s="170">
        <f t="shared" si="16"/>
        <v>38848</v>
      </c>
      <c r="H35" s="170">
        <f t="shared" si="16"/>
        <v>43267</v>
      </c>
      <c r="I35" s="181">
        <f t="shared" si="14"/>
        <v>0.11375102965403627</v>
      </c>
      <c r="J35" s="169">
        <f>H35-G35</f>
        <v>4419</v>
      </c>
      <c r="K35" s="171">
        <f t="shared" si="12"/>
        <v>7.1006917377140655E-2</v>
      </c>
    </row>
    <row r="36" spans="2:11" x14ac:dyDescent="0.25">
      <c r="B36" s="156" t="s">
        <v>47</v>
      </c>
      <c r="C36" s="154"/>
      <c r="D36" s="154"/>
      <c r="E36" s="154"/>
      <c r="F36" s="154"/>
      <c r="G36" s="154"/>
      <c r="H36" s="154"/>
      <c r="I36" s="155"/>
      <c r="J36" s="155"/>
      <c r="K36" s="154"/>
    </row>
    <row r="37" spans="2:11" x14ac:dyDescent="0.25">
      <c r="B37" s="157" t="s">
        <v>70</v>
      </c>
      <c r="C37" s="177">
        <f t="shared" ref="C37:H37" si="17">C38+C41</f>
        <v>102171</v>
      </c>
      <c r="D37" s="177">
        <f t="shared" si="17"/>
        <v>57402</v>
      </c>
      <c r="E37" s="177">
        <f t="shared" si="17"/>
        <v>233221</v>
      </c>
      <c r="F37" s="177">
        <f t="shared" si="17"/>
        <v>246803</v>
      </c>
      <c r="G37" s="177">
        <f t="shared" si="17"/>
        <v>262119</v>
      </c>
      <c r="H37" s="177">
        <f t="shared" si="17"/>
        <v>268519</v>
      </c>
      <c r="I37" s="178">
        <f>IFERROR(H37/G37-1,"-")</f>
        <v>2.4416391028502238E-2</v>
      </c>
      <c r="J37" s="177">
        <f>H37-G37</f>
        <v>6400</v>
      </c>
      <c r="K37" s="178">
        <f t="shared" ref="K37:K49" si="18">H37/H$9</f>
        <v>0.440675490493735</v>
      </c>
    </row>
    <row r="38" spans="2:11" x14ac:dyDescent="0.25">
      <c r="B38" s="160" t="s">
        <v>99</v>
      </c>
      <c r="C38" s="161">
        <v>4287</v>
      </c>
      <c r="D38" s="161">
        <v>20177</v>
      </c>
      <c r="E38" s="161">
        <v>16892</v>
      </c>
      <c r="F38" s="161">
        <v>14685</v>
      </c>
      <c r="G38" s="161">
        <v>13793</v>
      </c>
      <c r="H38" s="161">
        <v>15526</v>
      </c>
      <c r="I38" s="179">
        <f>IFERROR(H38/G38-1,"-")</f>
        <v>0.12564344232581748</v>
      </c>
      <c r="J38" s="160">
        <f t="shared" ref="J38:J48" si="19">H38-G38</f>
        <v>1733</v>
      </c>
      <c r="K38" s="162">
        <f t="shared" si="18"/>
        <v>2.5480236651431478E-2</v>
      </c>
    </row>
    <row r="39" spans="2:11" x14ac:dyDescent="0.25">
      <c r="B39" s="164" t="s">
        <v>105</v>
      </c>
      <c r="C39" s="165">
        <v>3014</v>
      </c>
      <c r="D39" s="165">
        <v>17687</v>
      </c>
      <c r="E39" s="165">
        <v>12004</v>
      </c>
      <c r="F39" s="165">
        <v>9410</v>
      </c>
      <c r="G39" s="165">
        <v>7013</v>
      </c>
      <c r="H39" s="165">
        <v>7988</v>
      </c>
      <c r="I39" s="180">
        <f>IFERROR(H39/G39-1,"-")</f>
        <v>0.13902752031940691</v>
      </c>
      <c r="J39" s="164">
        <f t="shared" si="19"/>
        <v>975</v>
      </c>
      <c r="K39" s="166">
        <f t="shared" si="18"/>
        <v>1.3109373333223925E-2</v>
      </c>
    </row>
    <row r="40" spans="2:11" x14ac:dyDescent="0.25">
      <c r="B40" s="164" t="s">
        <v>102</v>
      </c>
      <c r="C40" s="165">
        <v>1273</v>
      </c>
      <c r="D40" s="165">
        <v>2490</v>
      </c>
      <c r="E40" s="165">
        <v>4888</v>
      </c>
      <c r="F40" s="165">
        <v>5275</v>
      </c>
      <c r="G40" s="165">
        <v>6780</v>
      </c>
      <c r="H40" s="165">
        <v>7538</v>
      </c>
      <c r="I40" s="180">
        <f>IFERROR(H40/G40-1,"-")</f>
        <v>0.11179941002949856</v>
      </c>
      <c r="J40" s="164">
        <f t="shared" si="19"/>
        <v>758</v>
      </c>
      <c r="K40" s="166">
        <f t="shared" si="18"/>
        <v>1.2370863318207553E-2</v>
      </c>
    </row>
    <row r="41" spans="2:11" x14ac:dyDescent="0.25">
      <c r="B41" s="160" t="s">
        <v>109</v>
      </c>
      <c r="C41" s="161">
        <v>97884</v>
      </c>
      <c r="D41" s="161">
        <v>37225</v>
      </c>
      <c r="E41" s="161">
        <v>216329</v>
      </c>
      <c r="F41" s="161">
        <v>232118</v>
      </c>
      <c r="G41" s="161">
        <v>248326</v>
      </c>
      <c r="H41" s="161">
        <v>252993</v>
      </c>
      <c r="I41" s="179">
        <f>IFERROR(H41/G41-1,"-")</f>
        <v>1.8793843576588865E-2</v>
      </c>
      <c r="J41" s="160">
        <f t="shared" si="19"/>
        <v>4667</v>
      </c>
      <c r="K41" s="162">
        <f t="shared" si="18"/>
        <v>0.41519525384230349</v>
      </c>
    </row>
    <row r="42" spans="2:11" x14ac:dyDescent="0.25">
      <c r="B42" s="164" t="s">
        <v>112</v>
      </c>
      <c r="C42" s="165">
        <v>40531</v>
      </c>
      <c r="D42" s="165">
        <v>1878</v>
      </c>
      <c r="E42" s="165">
        <v>105168</v>
      </c>
      <c r="F42" s="165">
        <v>121801</v>
      </c>
      <c r="G42" s="165">
        <v>133474</v>
      </c>
      <c r="H42" s="165">
        <v>137087</v>
      </c>
      <c r="I42" s="180">
        <f t="shared" ref="I42:I49" si="20">IFERROR(H42/G42-1,"-")</f>
        <v>2.706894226590939E-2</v>
      </c>
      <c r="J42" s="164">
        <f t="shared" si="19"/>
        <v>3613</v>
      </c>
      <c r="K42" s="166">
        <f t="shared" si="18"/>
        <v>0.22497804984122036</v>
      </c>
    </row>
    <row r="43" spans="2:11" x14ac:dyDescent="0.25">
      <c r="B43" s="164" t="s">
        <v>115</v>
      </c>
      <c r="C43" s="165">
        <v>3224</v>
      </c>
      <c r="D43" s="165">
        <v>2501</v>
      </c>
      <c r="E43" s="165">
        <v>5695</v>
      </c>
      <c r="F43" s="165">
        <v>5511</v>
      </c>
      <c r="G43" s="165">
        <v>6343</v>
      </c>
      <c r="H43" s="165">
        <v>7562</v>
      </c>
      <c r="I43" s="180">
        <f t="shared" si="20"/>
        <v>0.19218035629828156</v>
      </c>
      <c r="J43" s="164">
        <f t="shared" si="19"/>
        <v>1219</v>
      </c>
      <c r="K43" s="166">
        <f t="shared" si="18"/>
        <v>1.2410250519008428E-2</v>
      </c>
    </row>
    <row r="44" spans="2:11" x14ac:dyDescent="0.25">
      <c r="B44" s="164" t="s">
        <v>118</v>
      </c>
      <c r="C44" s="165">
        <v>1607</v>
      </c>
      <c r="D44" s="165">
        <v>4544</v>
      </c>
      <c r="E44" s="165">
        <v>4855</v>
      </c>
      <c r="F44" s="165">
        <v>4647</v>
      </c>
      <c r="G44" s="165">
        <v>4991</v>
      </c>
      <c r="H44" s="165">
        <v>4998</v>
      </c>
      <c r="I44" s="180">
        <f t="shared" si="20"/>
        <v>1.4025245441795509E-3</v>
      </c>
      <c r="J44" s="164">
        <f t="shared" si="19"/>
        <v>7</v>
      </c>
      <c r="K44" s="166">
        <f t="shared" si="18"/>
        <v>8.2023845667818195E-3</v>
      </c>
    </row>
    <row r="45" spans="2:11" x14ac:dyDescent="0.25">
      <c r="B45" s="164" t="s">
        <v>125</v>
      </c>
      <c r="C45" s="165">
        <v>5044</v>
      </c>
      <c r="D45" s="165">
        <v>2233</v>
      </c>
      <c r="E45" s="165">
        <v>14063</v>
      </c>
      <c r="F45" s="165">
        <v>11621</v>
      </c>
      <c r="G45" s="165">
        <v>12517</v>
      </c>
      <c r="H45" s="165">
        <v>11420</v>
      </c>
      <c r="I45" s="180">
        <f t="shared" si="20"/>
        <v>-8.7640808500439427E-2</v>
      </c>
      <c r="J45" s="164">
        <f t="shared" si="19"/>
        <v>-1097</v>
      </c>
      <c r="K45" s="166">
        <f t="shared" si="18"/>
        <v>1.8741743047748775E-2</v>
      </c>
    </row>
    <row r="46" spans="2:11" x14ac:dyDescent="0.25">
      <c r="B46" s="164" t="s">
        <v>121</v>
      </c>
      <c r="C46" s="165">
        <v>1457</v>
      </c>
      <c r="D46" s="165">
        <v>1002</v>
      </c>
      <c r="E46" s="165">
        <v>3535</v>
      </c>
      <c r="F46" s="165">
        <v>3592</v>
      </c>
      <c r="G46" s="165">
        <v>4474</v>
      </c>
      <c r="H46" s="165">
        <v>4035</v>
      </c>
      <c r="I46" s="180">
        <f t="shared" si="20"/>
        <v>-9.812248547161373E-2</v>
      </c>
      <c r="J46" s="164">
        <f t="shared" si="19"/>
        <v>-439</v>
      </c>
      <c r="K46" s="166">
        <f t="shared" si="18"/>
        <v>6.6219731346467874E-3</v>
      </c>
    </row>
    <row r="47" spans="2:11" x14ac:dyDescent="0.25">
      <c r="B47" s="164" t="s">
        <v>130</v>
      </c>
      <c r="C47" s="165">
        <v>6272</v>
      </c>
      <c r="D47" s="165">
        <v>246</v>
      </c>
      <c r="E47" s="165">
        <v>7787</v>
      </c>
      <c r="F47" s="165">
        <v>8494</v>
      </c>
      <c r="G47" s="165">
        <v>8095</v>
      </c>
      <c r="H47" s="165">
        <v>7332</v>
      </c>
      <c r="I47" s="180">
        <f t="shared" si="20"/>
        <v>-9.4255713403335384E-2</v>
      </c>
      <c r="J47" s="164">
        <f t="shared" si="19"/>
        <v>-763</v>
      </c>
      <c r="K47" s="166">
        <f t="shared" si="18"/>
        <v>1.2032789844666728E-2</v>
      </c>
    </row>
    <row r="48" spans="2:11" x14ac:dyDescent="0.25">
      <c r="B48" s="164" t="s">
        <v>133</v>
      </c>
      <c r="C48" s="165">
        <v>10629</v>
      </c>
      <c r="D48" s="165">
        <v>906</v>
      </c>
      <c r="E48" s="165">
        <v>7580</v>
      </c>
      <c r="F48" s="165">
        <v>8474</v>
      </c>
      <c r="G48" s="165">
        <v>9452</v>
      </c>
      <c r="H48" s="165">
        <v>6950</v>
      </c>
      <c r="I48" s="180">
        <f t="shared" si="20"/>
        <v>-0.26470588235294112</v>
      </c>
      <c r="J48" s="164">
        <f t="shared" si="19"/>
        <v>-2502</v>
      </c>
      <c r="K48" s="166">
        <f t="shared" si="18"/>
        <v>1.1405876898586164E-2</v>
      </c>
    </row>
    <row r="49" spans="2:11" x14ac:dyDescent="0.25">
      <c r="B49" s="169" t="s">
        <v>147</v>
      </c>
      <c r="C49" s="170">
        <f t="shared" ref="C49" si="21">C41-SUM(C42:C48)</f>
        <v>29120</v>
      </c>
      <c r="D49" s="170">
        <f t="shared" ref="D49:H49" si="22">D41-SUM(D42:D48)</f>
        <v>23915</v>
      </c>
      <c r="E49" s="170">
        <f t="shared" si="22"/>
        <v>67646</v>
      </c>
      <c r="F49" s="170">
        <f t="shared" si="22"/>
        <v>67978</v>
      </c>
      <c r="G49" s="170">
        <f t="shared" si="22"/>
        <v>68980</v>
      </c>
      <c r="H49" s="170">
        <f t="shared" si="22"/>
        <v>73609</v>
      </c>
      <c r="I49" s="181">
        <f t="shared" si="20"/>
        <v>6.7106407654392575E-2</v>
      </c>
      <c r="J49" s="169">
        <f>H49-G49</f>
        <v>4629</v>
      </c>
      <c r="K49" s="171">
        <f t="shared" si="18"/>
        <v>0.12080218598964444</v>
      </c>
    </row>
    <row r="50" spans="2:11" x14ac:dyDescent="0.25">
      <c r="B50" s="156" t="s">
        <v>48</v>
      </c>
      <c r="C50" s="154"/>
      <c r="D50" s="154"/>
      <c r="E50" s="154"/>
      <c r="F50" s="154"/>
      <c r="G50" s="154"/>
      <c r="H50" s="154"/>
      <c r="I50" s="155"/>
      <c r="J50" s="155"/>
      <c r="K50" s="154"/>
    </row>
    <row r="51" spans="2:11" x14ac:dyDescent="0.25">
      <c r="B51" s="157" t="s">
        <v>70</v>
      </c>
      <c r="C51" s="177">
        <f t="shared" ref="C51:H51" si="23">IFERROR(C52+C55,"nd")</f>
        <v>1878</v>
      </c>
      <c r="D51" s="177">
        <f t="shared" si="23"/>
        <v>0</v>
      </c>
      <c r="E51" s="177">
        <f t="shared" si="23"/>
        <v>0</v>
      </c>
      <c r="F51" s="177">
        <f t="shared" si="23"/>
        <v>0</v>
      </c>
      <c r="G51" s="177">
        <f t="shared" si="23"/>
        <v>0</v>
      </c>
      <c r="H51" s="177">
        <f t="shared" si="23"/>
        <v>0</v>
      </c>
      <c r="I51" s="178" t="str">
        <f>IFERROR(H51/G51-1,"-")</f>
        <v>-</v>
      </c>
      <c r="J51" s="177">
        <f>H51-G51</f>
        <v>0</v>
      </c>
      <c r="K51" s="178">
        <f t="shared" ref="K51:K63" si="24">H51/H$9</f>
        <v>0</v>
      </c>
    </row>
    <row r="52" spans="2:11" x14ac:dyDescent="0.25">
      <c r="B52" s="160" t="s">
        <v>99</v>
      </c>
      <c r="C52" s="161">
        <v>350</v>
      </c>
      <c r="D52" s="161">
        <v>0</v>
      </c>
      <c r="E52" s="161">
        <v>0</v>
      </c>
      <c r="F52" s="161">
        <v>0</v>
      </c>
      <c r="G52" s="161">
        <v>0</v>
      </c>
      <c r="H52" s="161">
        <v>0</v>
      </c>
      <c r="I52" s="179" t="str">
        <f>IFERROR(H52/G52-1,"-")</f>
        <v>-</v>
      </c>
      <c r="J52" s="160">
        <f t="shared" ref="J52:J62" si="25">H52-G52</f>
        <v>0</v>
      </c>
      <c r="K52" s="162">
        <f t="shared" si="24"/>
        <v>0</v>
      </c>
    </row>
    <row r="53" spans="2:11" x14ac:dyDescent="0.25">
      <c r="B53" s="164" t="s">
        <v>105</v>
      </c>
      <c r="C53" s="165">
        <v>171</v>
      </c>
      <c r="D53" s="165">
        <v>0</v>
      </c>
      <c r="E53" s="165">
        <v>0</v>
      </c>
      <c r="F53" s="165">
        <v>0</v>
      </c>
      <c r="G53" s="165">
        <v>0</v>
      </c>
      <c r="H53" s="165">
        <v>0</v>
      </c>
      <c r="I53" s="180" t="str">
        <f>IFERROR(H53/G53-1,"-")</f>
        <v>-</v>
      </c>
      <c r="J53" s="164">
        <f t="shared" si="25"/>
        <v>0</v>
      </c>
      <c r="K53" s="166">
        <f t="shared" si="24"/>
        <v>0</v>
      </c>
    </row>
    <row r="54" spans="2:11" x14ac:dyDescent="0.25">
      <c r="B54" s="164" t="s">
        <v>102</v>
      </c>
      <c r="C54" s="165">
        <v>179</v>
      </c>
      <c r="D54" s="165">
        <v>0</v>
      </c>
      <c r="E54" s="165">
        <v>0</v>
      </c>
      <c r="F54" s="165">
        <v>0</v>
      </c>
      <c r="G54" s="165">
        <v>0</v>
      </c>
      <c r="H54" s="165">
        <v>0</v>
      </c>
      <c r="I54" s="180" t="str">
        <f>IFERROR(H54/G54-1,"-")</f>
        <v>-</v>
      </c>
      <c r="J54" s="164">
        <f t="shared" si="25"/>
        <v>0</v>
      </c>
      <c r="K54" s="166">
        <f t="shared" si="24"/>
        <v>0</v>
      </c>
    </row>
    <row r="55" spans="2:11" x14ac:dyDescent="0.25">
      <c r="B55" s="160" t="s">
        <v>109</v>
      </c>
      <c r="C55" s="161">
        <v>1528</v>
      </c>
      <c r="D55" s="161">
        <v>0</v>
      </c>
      <c r="E55" s="161">
        <v>0</v>
      </c>
      <c r="F55" s="161">
        <v>0</v>
      </c>
      <c r="G55" s="161">
        <v>0</v>
      </c>
      <c r="H55" s="161">
        <v>0</v>
      </c>
      <c r="I55" s="179" t="str">
        <f>IFERROR(H55/G55-1,"-")</f>
        <v>-</v>
      </c>
      <c r="J55" s="160">
        <f t="shared" si="25"/>
        <v>0</v>
      </c>
      <c r="K55" s="162">
        <f t="shared" si="24"/>
        <v>0</v>
      </c>
    </row>
    <row r="56" spans="2:11" x14ac:dyDescent="0.25">
      <c r="B56" s="164" t="s">
        <v>112</v>
      </c>
      <c r="C56" s="165">
        <v>596</v>
      </c>
      <c r="D56" s="165">
        <v>0</v>
      </c>
      <c r="E56" s="165">
        <v>0</v>
      </c>
      <c r="F56" s="165">
        <v>0</v>
      </c>
      <c r="G56" s="165">
        <v>0</v>
      </c>
      <c r="H56" s="165">
        <v>0</v>
      </c>
      <c r="I56" s="180" t="str">
        <f t="shared" ref="I56:I63" si="26">IFERROR(H56/G56-1,"-")</f>
        <v>-</v>
      </c>
      <c r="J56" s="164">
        <f t="shared" si="25"/>
        <v>0</v>
      </c>
      <c r="K56" s="166">
        <f t="shared" si="24"/>
        <v>0</v>
      </c>
    </row>
    <row r="57" spans="2:11" x14ac:dyDescent="0.25">
      <c r="B57" s="164" t="s">
        <v>115</v>
      </c>
      <c r="C57" s="165">
        <v>89</v>
      </c>
      <c r="D57" s="165">
        <v>0</v>
      </c>
      <c r="E57" s="165">
        <v>0</v>
      </c>
      <c r="F57" s="165">
        <v>0</v>
      </c>
      <c r="G57" s="165">
        <v>0</v>
      </c>
      <c r="H57" s="165">
        <v>0</v>
      </c>
      <c r="I57" s="180" t="str">
        <f t="shared" si="26"/>
        <v>-</v>
      </c>
      <c r="J57" s="164">
        <f t="shared" si="25"/>
        <v>0</v>
      </c>
      <c r="K57" s="166">
        <f t="shared" si="24"/>
        <v>0</v>
      </c>
    </row>
    <row r="58" spans="2:11" x14ac:dyDescent="0.25">
      <c r="B58" s="164" t="s">
        <v>118</v>
      </c>
      <c r="C58" s="165">
        <v>56</v>
      </c>
      <c r="D58" s="165">
        <v>0</v>
      </c>
      <c r="E58" s="165">
        <v>0</v>
      </c>
      <c r="F58" s="165">
        <v>0</v>
      </c>
      <c r="G58" s="165">
        <v>0</v>
      </c>
      <c r="H58" s="165">
        <v>0</v>
      </c>
      <c r="I58" s="180" t="str">
        <f t="shared" si="26"/>
        <v>-</v>
      </c>
      <c r="J58" s="164">
        <f t="shared" si="25"/>
        <v>0</v>
      </c>
      <c r="K58" s="166">
        <f t="shared" si="24"/>
        <v>0</v>
      </c>
    </row>
    <row r="59" spans="2:11" x14ac:dyDescent="0.25">
      <c r="B59" s="164" t="s">
        <v>125</v>
      </c>
      <c r="C59" s="165">
        <v>13</v>
      </c>
      <c r="D59" s="165">
        <v>0</v>
      </c>
      <c r="E59" s="165">
        <v>0</v>
      </c>
      <c r="F59" s="165">
        <v>0</v>
      </c>
      <c r="G59" s="165">
        <v>0</v>
      </c>
      <c r="H59" s="165">
        <v>0</v>
      </c>
      <c r="I59" s="180" t="str">
        <f t="shared" si="26"/>
        <v>-</v>
      </c>
      <c r="J59" s="164">
        <f t="shared" si="25"/>
        <v>0</v>
      </c>
      <c r="K59" s="166">
        <f t="shared" si="24"/>
        <v>0</v>
      </c>
    </row>
    <row r="60" spans="2:11" x14ac:dyDescent="0.25">
      <c r="B60" s="164" t="s">
        <v>121</v>
      </c>
      <c r="C60" s="165">
        <v>52</v>
      </c>
      <c r="D60" s="165">
        <v>0</v>
      </c>
      <c r="E60" s="165">
        <v>0</v>
      </c>
      <c r="F60" s="165">
        <v>0</v>
      </c>
      <c r="G60" s="165">
        <v>0</v>
      </c>
      <c r="H60" s="165">
        <v>0</v>
      </c>
      <c r="I60" s="180" t="str">
        <f t="shared" si="26"/>
        <v>-</v>
      </c>
      <c r="J60" s="164">
        <f t="shared" si="25"/>
        <v>0</v>
      </c>
      <c r="K60" s="166">
        <f t="shared" si="24"/>
        <v>0</v>
      </c>
    </row>
    <row r="61" spans="2:11" x14ac:dyDescent="0.25">
      <c r="B61" s="164" t="s">
        <v>130</v>
      </c>
      <c r="C61" s="165">
        <v>60</v>
      </c>
      <c r="D61" s="165">
        <v>0</v>
      </c>
      <c r="E61" s="165">
        <v>0</v>
      </c>
      <c r="F61" s="165">
        <v>0</v>
      </c>
      <c r="G61" s="165">
        <v>0</v>
      </c>
      <c r="H61" s="165">
        <v>0</v>
      </c>
      <c r="I61" s="180" t="str">
        <f t="shared" si="26"/>
        <v>-</v>
      </c>
      <c r="J61" s="164">
        <f t="shared" si="25"/>
        <v>0</v>
      </c>
      <c r="K61" s="166">
        <f t="shared" si="24"/>
        <v>0</v>
      </c>
    </row>
    <row r="62" spans="2:11" x14ac:dyDescent="0.25">
      <c r="B62" s="164" t="s">
        <v>133</v>
      </c>
      <c r="C62" s="165">
        <v>96</v>
      </c>
      <c r="D62" s="165">
        <v>0</v>
      </c>
      <c r="E62" s="165">
        <v>0</v>
      </c>
      <c r="F62" s="165">
        <v>0</v>
      </c>
      <c r="G62" s="165">
        <v>0</v>
      </c>
      <c r="H62" s="165">
        <v>0</v>
      </c>
      <c r="I62" s="180" t="str">
        <f t="shared" si="26"/>
        <v>-</v>
      </c>
      <c r="J62" s="164">
        <f t="shared" si="25"/>
        <v>0</v>
      </c>
      <c r="K62" s="166">
        <f t="shared" si="24"/>
        <v>0</v>
      </c>
    </row>
    <row r="63" spans="2:11" x14ac:dyDescent="0.25">
      <c r="B63" s="169" t="s">
        <v>147</v>
      </c>
      <c r="C63" s="170">
        <f t="shared" ref="C63:H63" si="27">IFERROR(C55-SUM(C56:C62),"nd")</f>
        <v>566</v>
      </c>
      <c r="D63" s="170">
        <f t="shared" si="27"/>
        <v>0</v>
      </c>
      <c r="E63" s="170">
        <f t="shared" si="27"/>
        <v>0</v>
      </c>
      <c r="F63" s="170">
        <f t="shared" si="27"/>
        <v>0</v>
      </c>
      <c r="G63" s="170">
        <f t="shared" si="27"/>
        <v>0</v>
      </c>
      <c r="H63" s="170">
        <f t="shared" si="27"/>
        <v>0</v>
      </c>
      <c r="I63" s="181" t="str">
        <f t="shared" si="26"/>
        <v>-</v>
      </c>
      <c r="J63" s="169">
        <f>H63-G63</f>
        <v>0</v>
      </c>
      <c r="K63" s="171">
        <f t="shared" si="24"/>
        <v>0</v>
      </c>
    </row>
    <row r="64" spans="2:11" x14ac:dyDescent="0.25">
      <c r="B64" s="156" t="s">
        <v>49</v>
      </c>
      <c r="C64" s="154"/>
      <c r="D64" s="154"/>
      <c r="E64" s="154"/>
      <c r="F64" s="154"/>
      <c r="G64" s="154"/>
      <c r="H64" s="154"/>
      <c r="I64" s="155"/>
      <c r="J64" s="155"/>
      <c r="K64" s="154"/>
    </row>
    <row r="65" spans="2:11" x14ac:dyDescent="0.25">
      <c r="B65" s="157" t="s">
        <v>70</v>
      </c>
      <c r="C65" s="177" t="str">
        <f t="shared" ref="C65:H65" si="28">IFERROR(C66+C69,"nd")</f>
        <v>nd</v>
      </c>
      <c r="D65" s="177" t="str">
        <f t="shared" si="28"/>
        <v>nd</v>
      </c>
      <c r="E65" s="177" t="str">
        <f t="shared" si="28"/>
        <v>nd</v>
      </c>
      <c r="F65" s="177" t="str">
        <f t="shared" si="28"/>
        <v>nd</v>
      </c>
      <c r="G65" s="177" t="str">
        <f t="shared" si="28"/>
        <v>nd</v>
      </c>
      <c r="H65" s="177" t="str">
        <f t="shared" si="28"/>
        <v>nd</v>
      </c>
      <c r="I65" s="178" t="str">
        <f>IFERROR(H65/G65-1,"-")</f>
        <v>-</v>
      </c>
      <c r="J65" s="177" t="str">
        <f>IFERROR(H65-G65,"-")</f>
        <v>-</v>
      </c>
      <c r="K65" s="178" t="str">
        <f>IFERROR(H65/H$9,"-")</f>
        <v>-</v>
      </c>
    </row>
    <row r="66" spans="2:11" x14ac:dyDescent="0.25">
      <c r="B66" s="160" t="s">
        <v>99</v>
      </c>
      <c r="C66" s="161" t="s">
        <v>312</v>
      </c>
      <c r="D66" s="161" t="s">
        <v>312</v>
      </c>
      <c r="E66" s="161" t="s">
        <v>312</v>
      </c>
      <c r="F66" s="161" t="s">
        <v>312</v>
      </c>
      <c r="G66" s="161" t="s">
        <v>312</v>
      </c>
      <c r="H66" s="161" t="s">
        <v>312</v>
      </c>
      <c r="I66" s="179" t="str">
        <f>IFERROR(H66/G66-1,"-")</f>
        <v>-</v>
      </c>
      <c r="J66" s="182" t="str">
        <f t="shared" ref="J66:J77" si="29">IFERROR(H66-G66,"-")</f>
        <v>-</v>
      </c>
      <c r="K66" s="162" t="str">
        <f t="shared" ref="K66:K77" si="30">IFERROR(H66/H$9,"-")</f>
        <v>-</v>
      </c>
    </row>
    <row r="67" spans="2:11" x14ac:dyDescent="0.25">
      <c r="B67" s="164" t="s">
        <v>105</v>
      </c>
      <c r="C67" s="165" t="s">
        <v>312</v>
      </c>
      <c r="D67" s="165" t="s">
        <v>312</v>
      </c>
      <c r="E67" s="165" t="s">
        <v>312</v>
      </c>
      <c r="F67" s="165" t="s">
        <v>312</v>
      </c>
      <c r="G67" s="165" t="s">
        <v>312</v>
      </c>
      <c r="H67" s="165" t="s">
        <v>312</v>
      </c>
      <c r="I67" s="180" t="str">
        <f>IFERROR(H67/G67-1,"-")</f>
        <v>-</v>
      </c>
      <c r="J67" s="183" t="str">
        <f t="shared" si="29"/>
        <v>-</v>
      </c>
      <c r="K67" s="166" t="str">
        <f t="shared" si="30"/>
        <v>-</v>
      </c>
    </row>
    <row r="68" spans="2:11" x14ac:dyDescent="0.25">
      <c r="B68" s="164" t="s">
        <v>102</v>
      </c>
      <c r="C68" s="165" t="s">
        <v>312</v>
      </c>
      <c r="D68" s="165" t="s">
        <v>312</v>
      </c>
      <c r="E68" s="165" t="s">
        <v>312</v>
      </c>
      <c r="F68" s="165" t="s">
        <v>312</v>
      </c>
      <c r="G68" s="165" t="s">
        <v>312</v>
      </c>
      <c r="H68" s="165" t="s">
        <v>312</v>
      </c>
      <c r="I68" s="180" t="str">
        <f>IFERROR(H68/G68-1,"-")</f>
        <v>-</v>
      </c>
      <c r="J68" s="183" t="str">
        <f t="shared" si="29"/>
        <v>-</v>
      </c>
      <c r="K68" s="166" t="str">
        <f t="shared" si="30"/>
        <v>-</v>
      </c>
    </row>
    <row r="69" spans="2:11" x14ac:dyDescent="0.25">
      <c r="B69" s="160" t="s">
        <v>109</v>
      </c>
      <c r="C69" s="161" t="s">
        <v>312</v>
      </c>
      <c r="D69" s="161" t="s">
        <v>312</v>
      </c>
      <c r="E69" s="161" t="s">
        <v>312</v>
      </c>
      <c r="F69" s="161" t="s">
        <v>312</v>
      </c>
      <c r="G69" s="161" t="s">
        <v>312</v>
      </c>
      <c r="H69" s="161" t="s">
        <v>312</v>
      </c>
      <c r="I69" s="179" t="str">
        <f>IFERROR(H69/G69-1,"-")</f>
        <v>-</v>
      </c>
      <c r="J69" s="182" t="str">
        <f t="shared" si="29"/>
        <v>-</v>
      </c>
      <c r="K69" s="162" t="str">
        <f t="shared" si="30"/>
        <v>-</v>
      </c>
    </row>
    <row r="70" spans="2:11" x14ac:dyDescent="0.25">
      <c r="B70" s="164" t="s">
        <v>112</v>
      </c>
      <c r="C70" s="165" t="s">
        <v>312</v>
      </c>
      <c r="D70" s="165" t="s">
        <v>312</v>
      </c>
      <c r="E70" s="165" t="s">
        <v>312</v>
      </c>
      <c r="F70" s="165" t="s">
        <v>312</v>
      </c>
      <c r="G70" s="165" t="s">
        <v>312</v>
      </c>
      <c r="H70" s="165" t="s">
        <v>312</v>
      </c>
      <c r="I70" s="180" t="str">
        <f t="shared" ref="I70:I77" si="31">IFERROR(H70/G70-1,"-")</f>
        <v>-</v>
      </c>
      <c r="J70" s="183" t="str">
        <f t="shared" si="29"/>
        <v>-</v>
      </c>
      <c r="K70" s="166" t="str">
        <f t="shared" si="30"/>
        <v>-</v>
      </c>
    </row>
    <row r="71" spans="2:11" x14ac:dyDescent="0.25">
      <c r="B71" s="164" t="s">
        <v>115</v>
      </c>
      <c r="C71" s="165" t="s">
        <v>312</v>
      </c>
      <c r="D71" s="165" t="s">
        <v>312</v>
      </c>
      <c r="E71" s="165" t="s">
        <v>312</v>
      </c>
      <c r="F71" s="165" t="s">
        <v>312</v>
      </c>
      <c r="G71" s="165" t="s">
        <v>312</v>
      </c>
      <c r="H71" s="165" t="s">
        <v>312</v>
      </c>
      <c r="I71" s="180" t="str">
        <f t="shared" si="31"/>
        <v>-</v>
      </c>
      <c r="J71" s="183" t="str">
        <f t="shared" si="29"/>
        <v>-</v>
      </c>
      <c r="K71" s="166" t="str">
        <f t="shared" si="30"/>
        <v>-</v>
      </c>
    </row>
    <row r="72" spans="2:11" x14ac:dyDescent="0.25">
      <c r="B72" s="164" t="s">
        <v>118</v>
      </c>
      <c r="C72" s="165" t="s">
        <v>312</v>
      </c>
      <c r="D72" s="165" t="s">
        <v>312</v>
      </c>
      <c r="E72" s="165" t="s">
        <v>312</v>
      </c>
      <c r="F72" s="165" t="s">
        <v>312</v>
      </c>
      <c r="G72" s="165" t="s">
        <v>312</v>
      </c>
      <c r="H72" s="165" t="s">
        <v>312</v>
      </c>
      <c r="I72" s="180" t="str">
        <f t="shared" si="31"/>
        <v>-</v>
      </c>
      <c r="J72" s="183" t="str">
        <f t="shared" si="29"/>
        <v>-</v>
      </c>
      <c r="K72" s="166" t="str">
        <f t="shared" si="30"/>
        <v>-</v>
      </c>
    </row>
    <row r="73" spans="2:11" x14ac:dyDescent="0.25">
      <c r="B73" s="164" t="s">
        <v>125</v>
      </c>
      <c r="C73" s="165" t="s">
        <v>312</v>
      </c>
      <c r="D73" s="165" t="s">
        <v>312</v>
      </c>
      <c r="E73" s="165" t="s">
        <v>312</v>
      </c>
      <c r="F73" s="165" t="s">
        <v>312</v>
      </c>
      <c r="G73" s="165" t="s">
        <v>312</v>
      </c>
      <c r="H73" s="165" t="s">
        <v>312</v>
      </c>
      <c r="I73" s="180" t="str">
        <f t="shared" si="31"/>
        <v>-</v>
      </c>
      <c r="J73" s="183" t="str">
        <f t="shared" si="29"/>
        <v>-</v>
      </c>
      <c r="K73" s="166" t="str">
        <f t="shared" si="30"/>
        <v>-</v>
      </c>
    </row>
    <row r="74" spans="2:11" x14ac:dyDescent="0.25">
      <c r="B74" s="164" t="s">
        <v>121</v>
      </c>
      <c r="C74" s="165" t="s">
        <v>312</v>
      </c>
      <c r="D74" s="165" t="s">
        <v>312</v>
      </c>
      <c r="E74" s="165" t="s">
        <v>312</v>
      </c>
      <c r="F74" s="165" t="s">
        <v>312</v>
      </c>
      <c r="G74" s="165" t="s">
        <v>312</v>
      </c>
      <c r="H74" s="165" t="s">
        <v>312</v>
      </c>
      <c r="I74" s="180" t="str">
        <f t="shared" si="31"/>
        <v>-</v>
      </c>
      <c r="J74" s="183" t="str">
        <f t="shared" si="29"/>
        <v>-</v>
      </c>
      <c r="K74" s="166" t="str">
        <f t="shared" si="30"/>
        <v>-</v>
      </c>
    </row>
    <row r="75" spans="2:11" x14ac:dyDescent="0.25">
      <c r="B75" s="164" t="s">
        <v>130</v>
      </c>
      <c r="C75" s="165" t="s">
        <v>312</v>
      </c>
      <c r="D75" s="165" t="s">
        <v>312</v>
      </c>
      <c r="E75" s="165" t="s">
        <v>312</v>
      </c>
      <c r="F75" s="165" t="s">
        <v>312</v>
      </c>
      <c r="G75" s="165" t="s">
        <v>312</v>
      </c>
      <c r="H75" s="165" t="s">
        <v>312</v>
      </c>
      <c r="I75" s="180" t="str">
        <f t="shared" si="31"/>
        <v>-</v>
      </c>
      <c r="J75" s="183" t="str">
        <f t="shared" si="29"/>
        <v>-</v>
      </c>
      <c r="K75" s="166" t="str">
        <f t="shared" si="30"/>
        <v>-</v>
      </c>
    </row>
    <row r="76" spans="2:11" x14ac:dyDescent="0.25">
      <c r="B76" s="164" t="s">
        <v>133</v>
      </c>
      <c r="C76" s="165" t="s">
        <v>312</v>
      </c>
      <c r="D76" s="165" t="s">
        <v>312</v>
      </c>
      <c r="E76" s="165" t="s">
        <v>312</v>
      </c>
      <c r="F76" s="165" t="s">
        <v>312</v>
      </c>
      <c r="G76" s="165" t="s">
        <v>312</v>
      </c>
      <c r="H76" s="165" t="s">
        <v>312</v>
      </c>
      <c r="I76" s="180" t="str">
        <f t="shared" si="31"/>
        <v>-</v>
      </c>
      <c r="J76" s="183" t="str">
        <f t="shared" si="29"/>
        <v>-</v>
      </c>
      <c r="K76" s="166" t="str">
        <f t="shared" si="30"/>
        <v>-</v>
      </c>
    </row>
    <row r="77" spans="2:11" x14ac:dyDescent="0.25">
      <c r="B77" s="169" t="s">
        <v>147</v>
      </c>
      <c r="C77" s="170" t="str">
        <f t="shared" ref="C77:H77" si="32">IFERROR(C69-SUM(C70:C76),"nd")</f>
        <v>nd</v>
      </c>
      <c r="D77" s="170" t="str">
        <f t="shared" si="32"/>
        <v>nd</v>
      </c>
      <c r="E77" s="170" t="str">
        <f t="shared" si="32"/>
        <v>nd</v>
      </c>
      <c r="F77" s="170" t="str">
        <f t="shared" si="32"/>
        <v>nd</v>
      </c>
      <c r="G77" s="170" t="str">
        <f t="shared" si="32"/>
        <v>nd</v>
      </c>
      <c r="H77" s="170" t="str">
        <f t="shared" si="32"/>
        <v>nd</v>
      </c>
      <c r="I77" s="181" t="str">
        <f t="shared" si="31"/>
        <v>-</v>
      </c>
      <c r="J77" s="184" t="str">
        <f t="shared" si="29"/>
        <v>-</v>
      </c>
      <c r="K77" s="171" t="str">
        <f t="shared" si="30"/>
        <v>-</v>
      </c>
    </row>
    <row r="78" spans="2:11" x14ac:dyDescent="0.25">
      <c r="B78" s="156" t="s">
        <v>50</v>
      </c>
      <c r="C78" s="154"/>
      <c r="D78" s="154"/>
      <c r="E78" s="154"/>
      <c r="F78" s="154"/>
      <c r="G78" s="154"/>
      <c r="H78" s="154"/>
      <c r="I78" s="155"/>
      <c r="J78" s="155"/>
      <c r="K78" s="154"/>
    </row>
    <row r="79" spans="2:11" x14ac:dyDescent="0.25">
      <c r="B79" s="157" t="s">
        <v>70</v>
      </c>
      <c r="C79" s="177">
        <f t="shared" ref="C79:H79" si="33">IFERROR(C80+C83,"nd")</f>
        <v>26023</v>
      </c>
      <c r="D79" s="177">
        <f t="shared" si="33"/>
        <v>18878</v>
      </c>
      <c r="E79" s="177">
        <f t="shared" si="33"/>
        <v>60007</v>
      </c>
      <c r="F79" s="177">
        <f t="shared" si="33"/>
        <v>72419</v>
      </c>
      <c r="G79" s="177">
        <f t="shared" si="33"/>
        <v>81209</v>
      </c>
      <c r="H79" s="177">
        <f t="shared" si="33"/>
        <v>92335</v>
      </c>
      <c r="I79" s="178">
        <f>IFERROR(H79/G79-1,"-")</f>
        <v>0.13700451920353651</v>
      </c>
      <c r="J79" s="177">
        <f>IFERROR(H79-G79,"-")</f>
        <v>11126</v>
      </c>
      <c r="K79" s="178">
        <f>IFERROR(H79/H$9,"-")</f>
        <v>0.15153404941452567</v>
      </c>
    </row>
    <row r="80" spans="2:11" x14ac:dyDescent="0.25">
      <c r="B80" s="160" t="s">
        <v>99</v>
      </c>
      <c r="C80" s="161">
        <v>6348</v>
      </c>
      <c r="D80" s="161">
        <v>10403</v>
      </c>
      <c r="E80" s="161">
        <v>26804</v>
      </c>
      <c r="F80" s="161">
        <v>30063</v>
      </c>
      <c r="G80" s="161">
        <v>36953</v>
      </c>
      <c r="H80" s="161">
        <v>40652</v>
      </c>
      <c r="I80" s="179">
        <f>IFERROR(H80/G80-1,"-")</f>
        <v>0.10010012718859085</v>
      </c>
      <c r="J80" s="182">
        <f t="shared" ref="J80:J91" si="34">IFERROR(H80-G80,"-")</f>
        <v>3699</v>
      </c>
      <c r="K80" s="162">
        <f t="shared" ref="K80:K91" si="35">IFERROR(H80/H$9,"-")</f>
        <v>6.6715353623212195E-2</v>
      </c>
    </row>
    <row r="81" spans="2:11" x14ac:dyDescent="0.25">
      <c r="B81" s="164" t="s">
        <v>105</v>
      </c>
      <c r="C81" s="165">
        <v>1948</v>
      </c>
      <c r="D81" s="165">
        <v>6169</v>
      </c>
      <c r="E81" s="165">
        <v>12562</v>
      </c>
      <c r="F81" s="165">
        <v>15782</v>
      </c>
      <c r="G81" s="165">
        <v>15963</v>
      </c>
      <c r="H81" s="165">
        <v>12372</v>
      </c>
      <c r="I81" s="180">
        <f>IFERROR(H81/G81-1,"-")</f>
        <v>-0.22495771471527903</v>
      </c>
      <c r="J81" s="183">
        <f t="shared" si="34"/>
        <v>-3591</v>
      </c>
      <c r="K81" s="166">
        <f t="shared" si="35"/>
        <v>2.0304102012850073E-2</v>
      </c>
    </row>
    <row r="82" spans="2:11" x14ac:dyDescent="0.25">
      <c r="B82" s="164" t="s">
        <v>102</v>
      </c>
      <c r="C82" s="165">
        <v>4400</v>
      </c>
      <c r="D82" s="165">
        <v>4234</v>
      </c>
      <c r="E82" s="165">
        <v>14242</v>
      </c>
      <c r="F82" s="165">
        <v>14281</v>
      </c>
      <c r="G82" s="165">
        <v>20990</v>
      </c>
      <c r="H82" s="165">
        <v>28280</v>
      </c>
      <c r="I82" s="180">
        <f>IFERROR(H82/G82-1,"-")</f>
        <v>0.34730824202000954</v>
      </c>
      <c r="J82" s="183">
        <f t="shared" si="34"/>
        <v>7290</v>
      </c>
      <c r="K82" s="166">
        <f t="shared" si="35"/>
        <v>4.6411251610362116E-2</v>
      </c>
    </row>
    <row r="83" spans="2:11" x14ac:dyDescent="0.25">
      <c r="B83" s="160" t="s">
        <v>109</v>
      </c>
      <c r="C83" s="161">
        <v>19675</v>
      </c>
      <c r="D83" s="161">
        <v>8475</v>
      </c>
      <c r="E83" s="161">
        <v>33203</v>
      </c>
      <c r="F83" s="161">
        <v>42356</v>
      </c>
      <c r="G83" s="161">
        <v>44256</v>
      </c>
      <c r="H83" s="161">
        <v>51683</v>
      </c>
      <c r="I83" s="179">
        <f>IFERROR(H83/G83-1,"-")</f>
        <v>0.16781905278380327</v>
      </c>
      <c r="J83" s="182">
        <f t="shared" si="34"/>
        <v>7427</v>
      </c>
      <c r="K83" s="162">
        <f t="shared" si="35"/>
        <v>8.4818695791313486E-2</v>
      </c>
    </row>
    <row r="84" spans="2:11" x14ac:dyDescent="0.25">
      <c r="B84" s="164" t="s">
        <v>112</v>
      </c>
      <c r="C84" s="165">
        <v>1812</v>
      </c>
      <c r="D84" s="165">
        <v>334</v>
      </c>
      <c r="E84" s="165">
        <v>4161</v>
      </c>
      <c r="F84" s="165">
        <v>5485</v>
      </c>
      <c r="G84" s="165">
        <v>6583</v>
      </c>
      <c r="H84" s="165">
        <v>5787</v>
      </c>
      <c r="I84" s="180">
        <f t="shared" ref="I84:I91" si="36">IFERROR(H84/G84-1,"-")</f>
        <v>-0.12091751481087654</v>
      </c>
      <c r="J84" s="183">
        <f t="shared" si="34"/>
        <v>-796</v>
      </c>
      <c r="K84" s="166">
        <f t="shared" si="35"/>
        <v>9.4972387931105216E-3</v>
      </c>
    </row>
    <row r="85" spans="2:11" x14ac:dyDescent="0.25">
      <c r="B85" s="164" t="s">
        <v>115</v>
      </c>
      <c r="C85" s="165">
        <v>4471</v>
      </c>
      <c r="D85" s="165">
        <v>1810</v>
      </c>
      <c r="E85" s="165">
        <v>7566</v>
      </c>
      <c r="F85" s="165">
        <v>8343</v>
      </c>
      <c r="G85" s="165">
        <v>9165</v>
      </c>
      <c r="H85" s="165">
        <v>11172</v>
      </c>
      <c r="I85" s="180">
        <f t="shared" si="36"/>
        <v>0.21898527004909973</v>
      </c>
      <c r="J85" s="183">
        <f t="shared" si="34"/>
        <v>2007</v>
      </c>
      <c r="K85" s="166">
        <f t="shared" si="35"/>
        <v>1.833474197280642E-2</v>
      </c>
    </row>
    <row r="86" spans="2:11" x14ac:dyDescent="0.25">
      <c r="B86" s="164" t="s">
        <v>118</v>
      </c>
      <c r="C86" s="165">
        <v>798</v>
      </c>
      <c r="D86" s="165">
        <v>1395</v>
      </c>
      <c r="E86" s="165">
        <v>2400</v>
      </c>
      <c r="F86" s="165">
        <v>2471</v>
      </c>
      <c r="G86" s="165">
        <v>2710</v>
      </c>
      <c r="H86" s="165">
        <v>5793</v>
      </c>
      <c r="I86" s="180">
        <f t="shared" si="36"/>
        <v>1.1376383763837636</v>
      </c>
      <c r="J86" s="183">
        <f t="shared" si="34"/>
        <v>3083</v>
      </c>
      <c r="K86" s="166">
        <f t="shared" si="35"/>
        <v>9.507085593310741E-3</v>
      </c>
    </row>
    <row r="87" spans="2:11" x14ac:dyDescent="0.25">
      <c r="B87" s="164" t="s">
        <v>125</v>
      </c>
      <c r="C87" s="165">
        <v>290</v>
      </c>
      <c r="D87" s="165">
        <v>262</v>
      </c>
      <c r="E87" s="165">
        <v>1924</v>
      </c>
      <c r="F87" s="165">
        <v>2004</v>
      </c>
      <c r="G87" s="165">
        <v>2273</v>
      </c>
      <c r="H87" s="165">
        <v>1582</v>
      </c>
      <c r="I87" s="180">
        <f t="shared" si="36"/>
        <v>-0.3040035195776507</v>
      </c>
      <c r="J87" s="183">
        <f t="shared" si="34"/>
        <v>-691</v>
      </c>
      <c r="K87" s="166">
        <f t="shared" si="35"/>
        <v>2.5962729861242172E-3</v>
      </c>
    </row>
    <row r="88" spans="2:11" x14ac:dyDescent="0.25">
      <c r="B88" s="164" t="s">
        <v>121</v>
      </c>
      <c r="C88" s="165">
        <v>94</v>
      </c>
      <c r="D88" s="165">
        <v>145</v>
      </c>
      <c r="E88" s="165">
        <v>379</v>
      </c>
      <c r="F88" s="165">
        <v>330</v>
      </c>
      <c r="G88" s="165">
        <v>411</v>
      </c>
      <c r="H88" s="165">
        <v>453</v>
      </c>
      <c r="I88" s="180">
        <f t="shared" si="36"/>
        <v>0.10218978102189791</v>
      </c>
      <c r="J88" s="183">
        <f t="shared" si="34"/>
        <v>42</v>
      </c>
      <c r="K88" s="166">
        <f t="shared" si="35"/>
        <v>7.4343341511647943E-4</v>
      </c>
    </row>
    <row r="89" spans="2:11" x14ac:dyDescent="0.25">
      <c r="B89" s="164" t="s">
        <v>130</v>
      </c>
      <c r="C89" s="165">
        <v>1314</v>
      </c>
      <c r="D89" s="165">
        <v>61</v>
      </c>
      <c r="E89" s="165">
        <v>1693</v>
      </c>
      <c r="F89" s="165">
        <v>2793</v>
      </c>
      <c r="G89" s="165">
        <v>1927</v>
      </c>
      <c r="H89" s="165">
        <v>2012</v>
      </c>
      <c r="I89" s="180">
        <f t="shared" si="36"/>
        <v>4.411001556824079E-2</v>
      </c>
      <c r="J89" s="183">
        <f t="shared" si="34"/>
        <v>85</v>
      </c>
      <c r="K89" s="166">
        <f t="shared" si="35"/>
        <v>3.3019603338065267E-3</v>
      </c>
    </row>
    <row r="90" spans="2:11" x14ac:dyDescent="0.25">
      <c r="B90" s="164" t="s">
        <v>133</v>
      </c>
      <c r="C90" s="165">
        <v>2383</v>
      </c>
      <c r="D90" s="165">
        <v>205</v>
      </c>
      <c r="E90" s="165">
        <v>1740</v>
      </c>
      <c r="F90" s="165">
        <v>3209</v>
      </c>
      <c r="G90" s="165">
        <v>3026</v>
      </c>
      <c r="H90" s="165">
        <v>1945</v>
      </c>
      <c r="I90" s="180">
        <f t="shared" si="36"/>
        <v>-0.35723727693324525</v>
      </c>
      <c r="J90" s="183">
        <f t="shared" si="34"/>
        <v>-1081</v>
      </c>
      <c r="K90" s="166">
        <f t="shared" si="35"/>
        <v>3.1920043982374227E-3</v>
      </c>
    </row>
    <row r="91" spans="2:11" x14ac:dyDescent="0.25">
      <c r="B91" s="169" t="s">
        <v>147</v>
      </c>
      <c r="C91" s="170">
        <f t="shared" ref="C91:H91" si="37">IFERROR(C83-SUM(C84:C90),"nd")</f>
        <v>8513</v>
      </c>
      <c r="D91" s="170">
        <f t="shared" si="37"/>
        <v>4263</v>
      </c>
      <c r="E91" s="170">
        <f t="shared" si="37"/>
        <v>13340</v>
      </c>
      <c r="F91" s="170">
        <f t="shared" si="37"/>
        <v>17721</v>
      </c>
      <c r="G91" s="170">
        <f t="shared" si="37"/>
        <v>18161</v>
      </c>
      <c r="H91" s="170">
        <f t="shared" si="37"/>
        <v>22939</v>
      </c>
      <c r="I91" s="181">
        <f t="shared" si="36"/>
        <v>0.26309123946919222</v>
      </c>
      <c r="J91" s="184">
        <f t="shared" si="34"/>
        <v>4778</v>
      </c>
      <c r="K91" s="171">
        <f t="shared" si="35"/>
        <v>3.7645958298801151E-2</v>
      </c>
    </row>
    <row r="92" spans="2:11" x14ac:dyDescent="0.25">
      <c r="B92" s="156" t="s">
        <v>51</v>
      </c>
      <c r="C92" s="154"/>
      <c r="D92" s="154"/>
      <c r="E92" s="154"/>
      <c r="F92" s="154"/>
      <c r="G92" s="154"/>
      <c r="H92" s="154"/>
      <c r="I92" s="155"/>
      <c r="J92" s="155"/>
      <c r="K92" s="154"/>
    </row>
    <row r="93" spans="2:11" x14ac:dyDescent="0.25">
      <c r="B93" s="157" t="s">
        <v>70</v>
      </c>
      <c r="C93" s="177" t="str">
        <f t="shared" ref="C93:H93" si="38">IFERROR(C94+C97,"nd")</f>
        <v>nd</v>
      </c>
      <c r="D93" s="177" t="str">
        <f t="shared" si="38"/>
        <v>nd</v>
      </c>
      <c r="E93" s="177" t="str">
        <f t="shared" si="38"/>
        <v>nd</v>
      </c>
      <c r="F93" s="177" t="str">
        <f t="shared" si="38"/>
        <v>nd</v>
      </c>
      <c r="G93" s="177" t="str">
        <f t="shared" si="38"/>
        <v>nd</v>
      </c>
      <c r="H93" s="177" t="str">
        <f t="shared" si="38"/>
        <v>nd</v>
      </c>
      <c r="I93" s="178" t="str">
        <f>IFERROR(H93/G93-1,"-")</f>
        <v>-</v>
      </c>
      <c r="J93" s="177" t="str">
        <f>IFERROR(H93-G93,"-")</f>
        <v>-</v>
      </c>
      <c r="K93" s="178" t="str">
        <f>IFERROR(H93/H$9,"-")</f>
        <v>-</v>
      </c>
    </row>
    <row r="94" spans="2:11" x14ac:dyDescent="0.25">
      <c r="B94" s="160" t="s">
        <v>99</v>
      </c>
      <c r="C94" s="161" t="s">
        <v>312</v>
      </c>
      <c r="D94" s="161" t="s">
        <v>312</v>
      </c>
      <c r="E94" s="161" t="s">
        <v>312</v>
      </c>
      <c r="F94" s="161" t="s">
        <v>312</v>
      </c>
      <c r="G94" s="161" t="s">
        <v>312</v>
      </c>
      <c r="H94" s="161" t="s">
        <v>312</v>
      </c>
      <c r="I94" s="179" t="str">
        <f>IFERROR(H94/G94-1,"-")</f>
        <v>-</v>
      </c>
      <c r="J94" s="182" t="str">
        <f t="shared" ref="J94:J105" si="39">IFERROR(H94-G94,"-")</f>
        <v>-</v>
      </c>
      <c r="K94" s="162" t="str">
        <f t="shared" ref="K94:K105" si="40">IFERROR(H94/H$9,"-")</f>
        <v>-</v>
      </c>
    </row>
    <row r="95" spans="2:11" x14ac:dyDescent="0.25">
      <c r="B95" s="164" t="s">
        <v>105</v>
      </c>
      <c r="C95" s="165" t="s">
        <v>312</v>
      </c>
      <c r="D95" s="165" t="s">
        <v>312</v>
      </c>
      <c r="E95" s="165" t="s">
        <v>312</v>
      </c>
      <c r="F95" s="165" t="s">
        <v>312</v>
      </c>
      <c r="G95" s="165" t="s">
        <v>312</v>
      </c>
      <c r="H95" s="165" t="s">
        <v>312</v>
      </c>
      <c r="I95" s="180" t="str">
        <f>IFERROR(H95/G95-1,"-")</f>
        <v>-</v>
      </c>
      <c r="J95" s="183" t="str">
        <f t="shared" si="39"/>
        <v>-</v>
      </c>
      <c r="K95" s="166" t="str">
        <f t="shared" si="40"/>
        <v>-</v>
      </c>
    </row>
    <row r="96" spans="2:11" x14ac:dyDescent="0.25">
      <c r="B96" s="164" t="s">
        <v>102</v>
      </c>
      <c r="C96" s="165" t="s">
        <v>312</v>
      </c>
      <c r="D96" s="165" t="s">
        <v>312</v>
      </c>
      <c r="E96" s="165" t="s">
        <v>312</v>
      </c>
      <c r="F96" s="165" t="s">
        <v>312</v>
      </c>
      <c r="G96" s="165" t="s">
        <v>312</v>
      </c>
      <c r="H96" s="165" t="s">
        <v>312</v>
      </c>
      <c r="I96" s="180" t="str">
        <f>IFERROR(H96/G96-1,"-")</f>
        <v>-</v>
      </c>
      <c r="J96" s="183" t="str">
        <f t="shared" si="39"/>
        <v>-</v>
      </c>
      <c r="K96" s="166" t="str">
        <f t="shared" si="40"/>
        <v>-</v>
      </c>
    </row>
    <row r="97" spans="2:11" x14ac:dyDescent="0.25">
      <c r="B97" s="160" t="s">
        <v>109</v>
      </c>
      <c r="C97" s="161" t="s">
        <v>312</v>
      </c>
      <c r="D97" s="161" t="s">
        <v>312</v>
      </c>
      <c r="E97" s="161" t="s">
        <v>312</v>
      </c>
      <c r="F97" s="161" t="s">
        <v>312</v>
      </c>
      <c r="G97" s="161" t="s">
        <v>312</v>
      </c>
      <c r="H97" s="161" t="s">
        <v>312</v>
      </c>
      <c r="I97" s="179" t="str">
        <f>IFERROR(H97/G97-1,"-")</f>
        <v>-</v>
      </c>
      <c r="J97" s="182" t="str">
        <f t="shared" si="39"/>
        <v>-</v>
      </c>
      <c r="K97" s="162" t="str">
        <f t="shared" si="40"/>
        <v>-</v>
      </c>
    </row>
    <row r="98" spans="2:11" x14ac:dyDescent="0.25">
      <c r="B98" s="164" t="s">
        <v>112</v>
      </c>
      <c r="C98" s="165" t="s">
        <v>312</v>
      </c>
      <c r="D98" s="165" t="s">
        <v>312</v>
      </c>
      <c r="E98" s="165" t="s">
        <v>312</v>
      </c>
      <c r="F98" s="165" t="s">
        <v>312</v>
      </c>
      <c r="G98" s="165" t="s">
        <v>312</v>
      </c>
      <c r="H98" s="165" t="s">
        <v>312</v>
      </c>
      <c r="I98" s="180" t="str">
        <f t="shared" ref="I98:I105" si="41">IFERROR(H98/G98-1,"-")</f>
        <v>-</v>
      </c>
      <c r="J98" s="183" t="str">
        <f t="shared" si="39"/>
        <v>-</v>
      </c>
      <c r="K98" s="166" t="str">
        <f t="shared" si="40"/>
        <v>-</v>
      </c>
    </row>
    <row r="99" spans="2:11" x14ac:dyDescent="0.25">
      <c r="B99" s="164" t="s">
        <v>115</v>
      </c>
      <c r="C99" s="165" t="s">
        <v>312</v>
      </c>
      <c r="D99" s="165" t="s">
        <v>312</v>
      </c>
      <c r="E99" s="165" t="s">
        <v>312</v>
      </c>
      <c r="F99" s="165" t="s">
        <v>312</v>
      </c>
      <c r="G99" s="165" t="s">
        <v>312</v>
      </c>
      <c r="H99" s="165" t="s">
        <v>312</v>
      </c>
      <c r="I99" s="180" t="str">
        <f t="shared" si="41"/>
        <v>-</v>
      </c>
      <c r="J99" s="183" t="str">
        <f t="shared" si="39"/>
        <v>-</v>
      </c>
      <c r="K99" s="166" t="str">
        <f t="shared" si="40"/>
        <v>-</v>
      </c>
    </row>
    <row r="100" spans="2:11" x14ac:dyDescent="0.25">
      <c r="B100" s="164" t="s">
        <v>118</v>
      </c>
      <c r="C100" s="165" t="s">
        <v>312</v>
      </c>
      <c r="D100" s="165" t="s">
        <v>312</v>
      </c>
      <c r="E100" s="165" t="s">
        <v>312</v>
      </c>
      <c r="F100" s="165" t="s">
        <v>312</v>
      </c>
      <c r="G100" s="165" t="s">
        <v>312</v>
      </c>
      <c r="H100" s="165" t="s">
        <v>312</v>
      </c>
      <c r="I100" s="180" t="str">
        <f t="shared" si="41"/>
        <v>-</v>
      </c>
      <c r="J100" s="183" t="str">
        <f t="shared" si="39"/>
        <v>-</v>
      </c>
      <c r="K100" s="166" t="str">
        <f t="shared" si="40"/>
        <v>-</v>
      </c>
    </row>
    <row r="101" spans="2:11" x14ac:dyDescent="0.25">
      <c r="B101" s="164" t="s">
        <v>125</v>
      </c>
      <c r="C101" s="165" t="s">
        <v>312</v>
      </c>
      <c r="D101" s="165" t="s">
        <v>312</v>
      </c>
      <c r="E101" s="165" t="s">
        <v>312</v>
      </c>
      <c r="F101" s="165" t="s">
        <v>312</v>
      </c>
      <c r="G101" s="165" t="s">
        <v>312</v>
      </c>
      <c r="H101" s="165" t="s">
        <v>312</v>
      </c>
      <c r="I101" s="180" t="str">
        <f t="shared" si="41"/>
        <v>-</v>
      </c>
      <c r="J101" s="183" t="str">
        <f t="shared" si="39"/>
        <v>-</v>
      </c>
      <c r="K101" s="166" t="str">
        <f t="shared" si="40"/>
        <v>-</v>
      </c>
    </row>
    <row r="102" spans="2:11" x14ac:dyDescent="0.25">
      <c r="B102" s="164" t="s">
        <v>121</v>
      </c>
      <c r="C102" s="165" t="s">
        <v>312</v>
      </c>
      <c r="D102" s="165" t="s">
        <v>312</v>
      </c>
      <c r="E102" s="165" t="s">
        <v>312</v>
      </c>
      <c r="F102" s="165" t="s">
        <v>312</v>
      </c>
      <c r="G102" s="165" t="s">
        <v>312</v>
      </c>
      <c r="H102" s="165" t="s">
        <v>312</v>
      </c>
      <c r="I102" s="180" t="str">
        <f t="shared" si="41"/>
        <v>-</v>
      </c>
      <c r="J102" s="183" t="str">
        <f t="shared" si="39"/>
        <v>-</v>
      </c>
      <c r="K102" s="166" t="str">
        <f t="shared" si="40"/>
        <v>-</v>
      </c>
    </row>
    <row r="103" spans="2:11" x14ac:dyDescent="0.25">
      <c r="B103" s="164" t="s">
        <v>130</v>
      </c>
      <c r="C103" s="165" t="s">
        <v>312</v>
      </c>
      <c r="D103" s="165" t="s">
        <v>312</v>
      </c>
      <c r="E103" s="165" t="s">
        <v>312</v>
      </c>
      <c r="F103" s="165" t="s">
        <v>312</v>
      </c>
      <c r="G103" s="165" t="s">
        <v>312</v>
      </c>
      <c r="H103" s="165" t="s">
        <v>312</v>
      </c>
      <c r="I103" s="180" t="str">
        <f t="shared" si="41"/>
        <v>-</v>
      </c>
      <c r="J103" s="183" t="str">
        <f t="shared" si="39"/>
        <v>-</v>
      </c>
      <c r="K103" s="166" t="str">
        <f t="shared" si="40"/>
        <v>-</v>
      </c>
    </row>
    <row r="104" spans="2:11" x14ac:dyDescent="0.25">
      <c r="B104" s="164" t="s">
        <v>133</v>
      </c>
      <c r="C104" s="165" t="s">
        <v>312</v>
      </c>
      <c r="D104" s="165" t="s">
        <v>312</v>
      </c>
      <c r="E104" s="165" t="s">
        <v>312</v>
      </c>
      <c r="F104" s="165" t="s">
        <v>312</v>
      </c>
      <c r="G104" s="165" t="s">
        <v>312</v>
      </c>
      <c r="H104" s="165" t="s">
        <v>312</v>
      </c>
      <c r="I104" s="180" t="str">
        <f t="shared" si="41"/>
        <v>-</v>
      </c>
      <c r="J104" s="183" t="str">
        <f t="shared" si="39"/>
        <v>-</v>
      </c>
      <c r="K104" s="166" t="str">
        <f t="shared" si="40"/>
        <v>-</v>
      </c>
    </row>
    <row r="105" spans="2:11" x14ac:dyDescent="0.25">
      <c r="B105" s="169" t="s">
        <v>147</v>
      </c>
      <c r="C105" s="170" t="str">
        <f t="shared" ref="C105:H105" si="42">IFERROR(C97-SUM(C98:C104),"nd")</f>
        <v>nd</v>
      </c>
      <c r="D105" s="170" t="str">
        <f t="shared" si="42"/>
        <v>nd</v>
      </c>
      <c r="E105" s="170" t="str">
        <f t="shared" si="42"/>
        <v>nd</v>
      </c>
      <c r="F105" s="170" t="str">
        <f t="shared" si="42"/>
        <v>nd</v>
      </c>
      <c r="G105" s="170" t="str">
        <f t="shared" si="42"/>
        <v>nd</v>
      </c>
      <c r="H105" s="170" t="str">
        <f t="shared" si="42"/>
        <v>nd</v>
      </c>
      <c r="I105" s="181" t="str">
        <f t="shared" si="41"/>
        <v>-</v>
      </c>
      <c r="J105" s="184" t="str">
        <f t="shared" si="39"/>
        <v>-</v>
      </c>
      <c r="K105" s="171" t="str">
        <f t="shared" si="40"/>
        <v>-</v>
      </c>
    </row>
    <row r="106" spans="2:11" x14ac:dyDescent="0.25">
      <c r="B106" s="156" t="s">
        <v>52</v>
      </c>
      <c r="C106" s="154"/>
      <c r="D106" s="154"/>
      <c r="E106" s="154"/>
      <c r="F106" s="154"/>
      <c r="G106" s="154"/>
      <c r="H106" s="154"/>
      <c r="I106" s="155"/>
      <c r="J106" s="155"/>
      <c r="K106" s="154"/>
    </row>
    <row r="107" spans="2:11" x14ac:dyDescent="0.25">
      <c r="B107" s="157" t="s">
        <v>70</v>
      </c>
      <c r="C107" s="177">
        <f t="shared" ref="C107:H107" si="43">IFERROR(C108+C111,"nd")</f>
        <v>13382</v>
      </c>
      <c r="D107" s="177">
        <f t="shared" si="43"/>
        <v>379</v>
      </c>
      <c r="E107" s="177">
        <f t="shared" si="43"/>
        <v>12474</v>
      </c>
      <c r="F107" s="177">
        <f t="shared" si="43"/>
        <v>14894</v>
      </c>
      <c r="G107" s="177">
        <f t="shared" si="43"/>
        <v>14551</v>
      </c>
      <c r="H107" s="177">
        <f t="shared" si="43"/>
        <v>15981</v>
      </c>
      <c r="I107" s="178">
        <f>IFERROR(H107/G107-1,"-")</f>
        <v>9.8275032643804439E-2</v>
      </c>
      <c r="J107" s="177">
        <f>IFERROR(H107-G107,"-")</f>
        <v>1430</v>
      </c>
      <c r="K107" s="178">
        <f>IFERROR(H107/H$9,"-")</f>
        <v>2.6226952333281366E-2</v>
      </c>
    </row>
    <row r="108" spans="2:11" x14ac:dyDescent="0.25">
      <c r="B108" s="160" t="s">
        <v>99</v>
      </c>
      <c r="C108" s="161">
        <v>1767</v>
      </c>
      <c r="D108" s="161">
        <v>268</v>
      </c>
      <c r="E108" s="161">
        <v>2779</v>
      </c>
      <c r="F108" s="161">
        <v>2738</v>
      </c>
      <c r="G108" s="161">
        <v>2225</v>
      </c>
      <c r="H108" s="161">
        <v>2882</v>
      </c>
      <c r="I108" s="179">
        <f>IFERROR(H108/G108-1,"-")</f>
        <v>0.29528089887640441</v>
      </c>
      <c r="J108" s="182">
        <f t="shared" ref="J108:J119" si="44">IFERROR(H108-G108,"-")</f>
        <v>657</v>
      </c>
      <c r="K108" s="162">
        <f t="shared" ref="K108:K119" si="45">IFERROR(H108/H$9,"-")</f>
        <v>4.7297463628381761E-3</v>
      </c>
    </row>
    <row r="109" spans="2:11" x14ac:dyDescent="0.25">
      <c r="B109" s="164" t="s">
        <v>105</v>
      </c>
      <c r="C109" s="165">
        <v>1178</v>
      </c>
      <c r="D109" s="165">
        <v>228</v>
      </c>
      <c r="E109" s="165">
        <v>1948</v>
      </c>
      <c r="F109" s="165">
        <v>1894</v>
      </c>
      <c r="G109" s="165">
        <v>1248</v>
      </c>
      <c r="H109" s="165">
        <v>1645</v>
      </c>
      <c r="I109" s="180">
        <f>IFERROR(H109/G109-1,"-")</f>
        <v>0.31810897435897445</v>
      </c>
      <c r="J109" s="183">
        <f t="shared" si="44"/>
        <v>397</v>
      </c>
      <c r="K109" s="166">
        <f t="shared" si="45"/>
        <v>2.6996643882265092E-3</v>
      </c>
    </row>
    <row r="110" spans="2:11" x14ac:dyDescent="0.25">
      <c r="B110" s="164" t="s">
        <v>102</v>
      </c>
      <c r="C110" s="165">
        <v>589</v>
      </c>
      <c r="D110" s="165">
        <v>40</v>
      </c>
      <c r="E110" s="165">
        <v>831</v>
      </c>
      <c r="F110" s="165">
        <v>844</v>
      </c>
      <c r="G110" s="165">
        <v>977</v>
      </c>
      <c r="H110" s="165">
        <v>1237</v>
      </c>
      <c r="I110" s="180">
        <f>IFERROR(H110/G110-1,"-")</f>
        <v>0.26612077789150468</v>
      </c>
      <c r="J110" s="183">
        <f t="shared" si="44"/>
        <v>260</v>
      </c>
      <c r="K110" s="166">
        <f t="shared" si="45"/>
        <v>2.030081974611667E-3</v>
      </c>
    </row>
    <row r="111" spans="2:11" x14ac:dyDescent="0.25">
      <c r="B111" s="160" t="s">
        <v>109</v>
      </c>
      <c r="C111" s="161">
        <v>11615</v>
      </c>
      <c r="D111" s="161">
        <v>111</v>
      </c>
      <c r="E111" s="161">
        <v>9695</v>
      </c>
      <c r="F111" s="161">
        <v>12156</v>
      </c>
      <c r="G111" s="161">
        <v>12326</v>
      </c>
      <c r="H111" s="161">
        <v>13099</v>
      </c>
      <c r="I111" s="179">
        <f>IFERROR(H111/G111-1,"-")</f>
        <v>6.2712964465357679E-2</v>
      </c>
      <c r="J111" s="182">
        <f t="shared" si="44"/>
        <v>773</v>
      </c>
      <c r="K111" s="162">
        <f t="shared" si="45"/>
        <v>2.1497205970443189E-2</v>
      </c>
    </row>
    <row r="112" spans="2:11" x14ac:dyDescent="0.25">
      <c r="B112" s="164" t="s">
        <v>112</v>
      </c>
      <c r="C112" s="165">
        <v>6038</v>
      </c>
      <c r="D112" s="165">
        <v>31</v>
      </c>
      <c r="E112" s="165">
        <v>5888</v>
      </c>
      <c r="F112" s="165">
        <v>7169</v>
      </c>
      <c r="G112" s="165">
        <v>7009</v>
      </c>
      <c r="H112" s="165">
        <v>7174</v>
      </c>
      <c r="I112" s="180">
        <f t="shared" ref="I112:I119" si="46">IFERROR(H112/G112-1,"-")</f>
        <v>2.3541161363960672E-2</v>
      </c>
      <c r="J112" s="183">
        <f t="shared" si="44"/>
        <v>165</v>
      </c>
      <c r="K112" s="166">
        <f t="shared" si="45"/>
        <v>1.1773490772727645E-2</v>
      </c>
    </row>
    <row r="113" spans="2:11" x14ac:dyDescent="0.25">
      <c r="B113" s="164" t="s">
        <v>115</v>
      </c>
      <c r="C113" s="165">
        <v>474</v>
      </c>
      <c r="D113" s="165">
        <v>14</v>
      </c>
      <c r="E113" s="165">
        <v>394</v>
      </c>
      <c r="F113" s="165">
        <v>671</v>
      </c>
      <c r="G113" s="165">
        <v>626</v>
      </c>
      <c r="H113" s="165">
        <v>756</v>
      </c>
      <c r="I113" s="180">
        <f t="shared" si="46"/>
        <v>0.20766773162939289</v>
      </c>
      <c r="J113" s="183">
        <f t="shared" si="44"/>
        <v>130</v>
      </c>
      <c r="K113" s="166">
        <f t="shared" si="45"/>
        <v>1.2406968252275021E-3</v>
      </c>
    </row>
    <row r="114" spans="2:11" x14ac:dyDescent="0.25">
      <c r="B114" s="164" t="s">
        <v>118</v>
      </c>
      <c r="C114" s="165">
        <v>623</v>
      </c>
      <c r="D114" s="165">
        <v>8</v>
      </c>
      <c r="E114" s="165">
        <v>466</v>
      </c>
      <c r="F114" s="165">
        <v>649</v>
      </c>
      <c r="G114" s="165">
        <v>596</v>
      </c>
      <c r="H114" s="165">
        <v>711</v>
      </c>
      <c r="I114" s="180">
        <f t="shared" si="46"/>
        <v>0.19295302013422821</v>
      </c>
      <c r="J114" s="183">
        <f t="shared" si="44"/>
        <v>115</v>
      </c>
      <c r="K114" s="166">
        <f t="shared" si="45"/>
        <v>1.166845823725865E-3</v>
      </c>
    </row>
    <row r="115" spans="2:11" x14ac:dyDescent="0.25">
      <c r="B115" s="164" t="s">
        <v>125</v>
      </c>
      <c r="C115" s="165">
        <v>157</v>
      </c>
      <c r="D115" s="165">
        <v>1</v>
      </c>
      <c r="E115" s="165">
        <v>216</v>
      </c>
      <c r="F115" s="165">
        <v>257</v>
      </c>
      <c r="G115" s="165">
        <v>255</v>
      </c>
      <c r="H115" s="165">
        <v>288</v>
      </c>
      <c r="I115" s="180">
        <f t="shared" si="46"/>
        <v>0.12941176470588234</v>
      </c>
      <c r="J115" s="183">
        <f t="shared" si="44"/>
        <v>33</v>
      </c>
      <c r="K115" s="166">
        <f t="shared" si="45"/>
        <v>4.7264640961047701E-4</v>
      </c>
    </row>
    <row r="116" spans="2:11" x14ac:dyDescent="0.25">
      <c r="B116" s="164" t="s">
        <v>121</v>
      </c>
      <c r="C116" s="165">
        <v>252</v>
      </c>
      <c r="D116" s="165">
        <v>7</v>
      </c>
      <c r="E116" s="165">
        <v>198</v>
      </c>
      <c r="F116" s="165">
        <v>232</v>
      </c>
      <c r="G116" s="165">
        <v>185</v>
      </c>
      <c r="H116" s="165">
        <v>232</v>
      </c>
      <c r="I116" s="180">
        <f t="shared" si="46"/>
        <v>0.25405405405405412</v>
      </c>
      <c r="J116" s="183">
        <f t="shared" si="44"/>
        <v>47</v>
      </c>
      <c r="K116" s="166">
        <f t="shared" si="45"/>
        <v>3.8074294107510645E-4</v>
      </c>
    </row>
    <row r="117" spans="2:11" x14ac:dyDescent="0.25">
      <c r="B117" s="164" t="s">
        <v>130</v>
      </c>
      <c r="C117" s="165">
        <v>180</v>
      </c>
      <c r="D117" s="165">
        <v>4</v>
      </c>
      <c r="E117" s="165">
        <v>52</v>
      </c>
      <c r="F117" s="165">
        <v>110</v>
      </c>
      <c r="G117" s="165">
        <v>65</v>
      </c>
      <c r="H117" s="165">
        <v>55</v>
      </c>
      <c r="I117" s="180">
        <f t="shared" si="46"/>
        <v>-0.15384615384615385</v>
      </c>
      <c r="J117" s="183">
        <f t="shared" si="44"/>
        <v>-10</v>
      </c>
      <c r="K117" s="166">
        <f t="shared" si="45"/>
        <v>9.0262335168667476E-5</v>
      </c>
    </row>
    <row r="118" spans="2:11" x14ac:dyDescent="0.25">
      <c r="B118" s="164" t="s">
        <v>133</v>
      </c>
      <c r="C118" s="165">
        <v>383</v>
      </c>
      <c r="D118" s="165">
        <v>4</v>
      </c>
      <c r="E118" s="165">
        <v>78</v>
      </c>
      <c r="F118" s="165">
        <v>64</v>
      </c>
      <c r="G118" s="165">
        <v>68</v>
      </c>
      <c r="H118" s="165">
        <v>58</v>
      </c>
      <c r="I118" s="180">
        <f t="shared" si="46"/>
        <v>-0.1470588235294118</v>
      </c>
      <c r="J118" s="183">
        <f t="shared" si="44"/>
        <v>-10</v>
      </c>
      <c r="K118" s="166">
        <f t="shared" si="45"/>
        <v>9.5185735268776614E-5</v>
      </c>
    </row>
    <row r="119" spans="2:11" x14ac:dyDescent="0.25">
      <c r="B119" s="169" t="s">
        <v>147</v>
      </c>
      <c r="C119" s="170">
        <f t="shared" ref="C119:H119" si="47">IFERROR(C111-SUM(C112:C118),"nd")</f>
        <v>3508</v>
      </c>
      <c r="D119" s="170">
        <f t="shared" si="47"/>
        <v>42</v>
      </c>
      <c r="E119" s="170">
        <f t="shared" si="47"/>
        <v>2403</v>
      </c>
      <c r="F119" s="170">
        <f t="shared" si="47"/>
        <v>3004</v>
      </c>
      <c r="G119" s="170">
        <f t="shared" si="47"/>
        <v>3522</v>
      </c>
      <c r="H119" s="170">
        <f t="shared" si="47"/>
        <v>3825</v>
      </c>
      <c r="I119" s="181">
        <f t="shared" si="46"/>
        <v>8.6030664395229994E-2</v>
      </c>
      <c r="J119" s="184">
        <f t="shared" si="44"/>
        <v>303</v>
      </c>
      <c r="K119" s="171">
        <f t="shared" si="45"/>
        <v>6.2773351276391477E-3</v>
      </c>
    </row>
    <row r="120" spans="2:11" x14ac:dyDescent="0.25">
      <c r="B120" s="156" t="s">
        <v>53</v>
      </c>
      <c r="C120" s="154"/>
      <c r="D120" s="154"/>
      <c r="E120" s="154"/>
      <c r="F120" s="154"/>
      <c r="G120" s="154"/>
      <c r="H120" s="154"/>
      <c r="I120" s="155"/>
      <c r="J120" s="155"/>
      <c r="K120" s="154"/>
    </row>
    <row r="121" spans="2:11" x14ac:dyDescent="0.25">
      <c r="B121" s="157" t="s">
        <v>70</v>
      </c>
      <c r="C121" s="177" t="str">
        <f t="shared" ref="C121:H121" si="48">IFERROR(C122+C125,"nd")</f>
        <v>nd</v>
      </c>
      <c r="D121" s="177" t="str">
        <f t="shared" si="48"/>
        <v>nd</v>
      </c>
      <c r="E121" s="177" t="str">
        <f t="shared" si="48"/>
        <v>nd</v>
      </c>
      <c r="F121" s="177" t="str">
        <f t="shared" si="48"/>
        <v>nd</v>
      </c>
      <c r="G121" s="177" t="str">
        <f t="shared" si="48"/>
        <v>nd</v>
      </c>
      <c r="H121" s="177" t="str">
        <f t="shared" si="48"/>
        <v>nd</v>
      </c>
      <c r="I121" s="178" t="str">
        <f>IFERROR(H121/G121-1,"-")</f>
        <v>-</v>
      </c>
      <c r="J121" s="177" t="str">
        <f>IFERROR(H121-G121,"-")</f>
        <v>-</v>
      </c>
      <c r="K121" s="178" t="str">
        <f>IFERROR(H121/H$9,"-")</f>
        <v>-</v>
      </c>
    </row>
    <row r="122" spans="2:11" x14ac:dyDescent="0.25">
      <c r="B122" s="160" t="s">
        <v>99</v>
      </c>
      <c r="C122" s="161" t="s">
        <v>312</v>
      </c>
      <c r="D122" s="161" t="s">
        <v>312</v>
      </c>
      <c r="E122" s="161" t="s">
        <v>312</v>
      </c>
      <c r="F122" s="161" t="s">
        <v>312</v>
      </c>
      <c r="G122" s="161" t="s">
        <v>312</v>
      </c>
      <c r="H122" s="161" t="s">
        <v>312</v>
      </c>
      <c r="I122" s="179" t="str">
        <f>IFERROR(H122/G122-1,"-")</f>
        <v>-</v>
      </c>
      <c r="J122" s="182" t="str">
        <f t="shared" ref="J122:J133" si="49">IFERROR(H122-G122,"-")</f>
        <v>-</v>
      </c>
      <c r="K122" s="162" t="str">
        <f t="shared" ref="K122:K133" si="50">IFERROR(H122/H$9,"-")</f>
        <v>-</v>
      </c>
    </row>
    <row r="123" spans="2:11" x14ac:dyDescent="0.25">
      <c r="B123" s="164" t="s">
        <v>105</v>
      </c>
      <c r="C123" s="165" t="s">
        <v>312</v>
      </c>
      <c r="D123" s="165" t="s">
        <v>312</v>
      </c>
      <c r="E123" s="165" t="s">
        <v>312</v>
      </c>
      <c r="F123" s="165" t="s">
        <v>312</v>
      </c>
      <c r="G123" s="165" t="s">
        <v>312</v>
      </c>
      <c r="H123" s="165" t="s">
        <v>312</v>
      </c>
      <c r="I123" s="180" t="str">
        <f>IFERROR(H123/G123-1,"-")</f>
        <v>-</v>
      </c>
      <c r="J123" s="183" t="str">
        <f t="shared" si="49"/>
        <v>-</v>
      </c>
      <c r="K123" s="166" t="str">
        <f t="shared" si="50"/>
        <v>-</v>
      </c>
    </row>
    <row r="124" spans="2:11" x14ac:dyDescent="0.25">
      <c r="B124" s="164" t="s">
        <v>102</v>
      </c>
      <c r="C124" s="165" t="s">
        <v>312</v>
      </c>
      <c r="D124" s="165" t="s">
        <v>312</v>
      </c>
      <c r="E124" s="165" t="s">
        <v>312</v>
      </c>
      <c r="F124" s="165" t="s">
        <v>312</v>
      </c>
      <c r="G124" s="165" t="s">
        <v>312</v>
      </c>
      <c r="H124" s="165" t="s">
        <v>312</v>
      </c>
      <c r="I124" s="180" t="str">
        <f>IFERROR(H124/G124-1,"-")</f>
        <v>-</v>
      </c>
      <c r="J124" s="183" t="str">
        <f t="shared" si="49"/>
        <v>-</v>
      </c>
      <c r="K124" s="166" t="str">
        <f t="shared" si="50"/>
        <v>-</v>
      </c>
    </row>
    <row r="125" spans="2:11" x14ac:dyDescent="0.25">
      <c r="B125" s="160" t="s">
        <v>109</v>
      </c>
      <c r="C125" s="161" t="s">
        <v>312</v>
      </c>
      <c r="D125" s="161" t="s">
        <v>312</v>
      </c>
      <c r="E125" s="161" t="s">
        <v>312</v>
      </c>
      <c r="F125" s="161" t="s">
        <v>312</v>
      </c>
      <c r="G125" s="161" t="s">
        <v>312</v>
      </c>
      <c r="H125" s="161" t="s">
        <v>312</v>
      </c>
      <c r="I125" s="179" t="str">
        <f>IFERROR(H125/G125-1,"-")</f>
        <v>-</v>
      </c>
      <c r="J125" s="182" t="str">
        <f t="shared" si="49"/>
        <v>-</v>
      </c>
      <c r="K125" s="162" t="str">
        <f t="shared" si="50"/>
        <v>-</v>
      </c>
    </row>
    <row r="126" spans="2:11" x14ac:dyDescent="0.25">
      <c r="B126" s="164" t="s">
        <v>112</v>
      </c>
      <c r="C126" s="165" t="s">
        <v>312</v>
      </c>
      <c r="D126" s="165" t="s">
        <v>312</v>
      </c>
      <c r="E126" s="165" t="s">
        <v>312</v>
      </c>
      <c r="F126" s="165" t="s">
        <v>312</v>
      </c>
      <c r="G126" s="165" t="s">
        <v>312</v>
      </c>
      <c r="H126" s="165" t="s">
        <v>312</v>
      </c>
      <c r="I126" s="180" t="str">
        <f t="shared" ref="I126:I133" si="51">IFERROR(H126/G126-1,"-")</f>
        <v>-</v>
      </c>
      <c r="J126" s="183" t="str">
        <f t="shared" si="49"/>
        <v>-</v>
      </c>
      <c r="K126" s="166" t="str">
        <f t="shared" si="50"/>
        <v>-</v>
      </c>
    </row>
    <row r="127" spans="2:11" x14ac:dyDescent="0.25">
      <c r="B127" s="164" t="s">
        <v>115</v>
      </c>
      <c r="C127" s="165" t="s">
        <v>312</v>
      </c>
      <c r="D127" s="165" t="s">
        <v>312</v>
      </c>
      <c r="E127" s="165" t="s">
        <v>312</v>
      </c>
      <c r="F127" s="165" t="s">
        <v>312</v>
      </c>
      <c r="G127" s="165" t="s">
        <v>312</v>
      </c>
      <c r="H127" s="165" t="s">
        <v>312</v>
      </c>
      <c r="I127" s="180" t="str">
        <f t="shared" si="51"/>
        <v>-</v>
      </c>
      <c r="J127" s="183" t="str">
        <f t="shared" si="49"/>
        <v>-</v>
      </c>
      <c r="K127" s="166" t="str">
        <f t="shared" si="50"/>
        <v>-</v>
      </c>
    </row>
    <row r="128" spans="2:11" x14ac:dyDescent="0.25">
      <c r="B128" s="164" t="s">
        <v>118</v>
      </c>
      <c r="C128" s="165" t="s">
        <v>312</v>
      </c>
      <c r="D128" s="165" t="s">
        <v>312</v>
      </c>
      <c r="E128" s="165" t="s">
        <v>312</v>
      </c>
      <c r="F128" s="165" t="s">
        <v>312</v>
      </c>
      <c r="G128" s="165" t="s">
        <v>312</v>
      </c>
      <c r="H128" s="165" t="s">
        <v>312</v>
      </c>
      <c r="I128" s="180" t="str">
        <f t="shared" si="51"/>
        <v>-</v>
      </c>
      <c r="J128" s="183" t="str">
        <f t="shared" si="49"/>
        <v>-</v>
      </c>
      <c r="K128" s="166" t="str">
        <f t="shared" si="50"/>
        <v>-</v>
      </c>
    </row>
    <row r="129" spans="2:11" x14ac:dyDescent="0.25">
      <c r="B129" s="164" t="s">
        <v>125</v>
      </c>
      <c r="C129" s="165" t="s">
        <v>312</v>
      </c>
      <c r="D129" s="165" t="s">
        <v>312</v>
      </c>
      <c r="E129" s="165" t="s">
        <v>312</v>
      </c>
      <c r="F129" s="165" t="s">
        <v>312</v>
      </c>
      <c r="G129" s="165" t="s">
        <v>312</v>
      </c>
      <c r="H129" s="165" t="s">
        <v>312</v>
      </c>
      <c r="I129" s="180" t="str">
        <f t="shared" si="51"/>
        <v>-</v>
      </c>
      <c r="J129" s="183" t="str">
        <f t="shared" si="49"/>
        <v>-</v>
      </c>
      <c r="K129" s="166" t="str">
        <f t="shared" si="50"/>
        <v>-</v>
      </c>
    </row>
    <row r="130" spans="2:11" x14ac:dyDescent="0.25">
      <c r="B130" s="164" t="s">
        <v>121</v>
      </c>
      <c r="C130" s="165" t="s">
        <v>312</v>
      </c>
      <c r="D130" s="165" t="s">
        <v>312</v>
      </c>
      <c r="E130" s="165" t="s">
        <v>312</v>
      </c>
      <c r="F130" s="165" t="s">
        <v>312</v>
      </c>
      <c r="G130" s="165" t="s">
        <v>312</v>
      </c>
      <c r="H130" s="165" t="s">
        <v>312</v>
      </c>
      <c r="I130" s="180" t="str">
        <f t="shared" si="51"/>
        <v>-</v>
      </c>
      <c r="J130" s="183" t="str">
        <f t="shared" si="49"/>
        <v>-</v>
      </c>
      <c r="K130" s="166" t="str">
        <f t="shared" si="50"/>
        <v>-</v>
      </c>
    </row>
    <row r="131" spans="2:11" x14ac:dyDescent="0.25">
      <c r="B131" s="164" t="s">
        <v>130</v>
      </c>
      <c r="C131" s="165" t="s">
        <v>312</v>
      </c>
      <c r="D131" s="165" t="s">
        <v>312</v>
      </c>
      <c r="E131" s="165" t="s">
        <v>312</v>
      </c>
      <c r="F131" s="165" t="s">
        <v>312</v>
      </c>
      <c r="G131" s="165" t="s">
        <v>312</v>
      </c>
      <c r="H131" s="165" t="s">
        <v>312</v>
      </c>
      <c r="I131" s="180" t="str">
        <f t="shared" si="51"/>
        <v>-</v>
      </c>
      <c r="J131" s="183" t="str">
        <f t="shared" si="49"/>
        <v>-</v>
      </c>
      <c r="K131" s="166" t="str">
        <f t="shared" si="50"/>
        <v>-</v>
      </c>
    </row>
    <row r="132" spans="2:11" x14ac:dyDescent="0.25">
      <c r="B132" s="164" t="s">
        <v>133</v>
      </c>
      <c r="C132" s="165" t="s">
        <v>312</v>
      </c>
      <c r="D132" s="165" t="s">
        <v>312</v>
      </c>
      <c r="E132" s="165" t="s">
        <v>312</v>
      </c>
      <c r="F132" s="165" t="s">
        <v>312</v>
      </c>
      <c r="G132" s="165" t="s">
        <v>312</v>
      </c>
      <c r="H132" s="165" t="s">
        <v>312</v>
      </c>
      <c r="I132" s="180" t="str">
        <f t="shared" si="51"/>
        <v>-</v>
      </c>
      <c r="J132" s="183" t="str">
        <f t="shared" si="49"/>
        <v>-</v>
      </c>
      <c r="K132" s="166" t="str">
        <f t="shared" si="50"/>
        <v>-</v>
      </c>
    </row>
    <row r="133" spans="2:11" x14ac:dyDescent="0.25">
      <c r="B133" s="169" t="s">
        <v>147</v>
      </c>
      <c r="C133" s="170" t="str">
        <f t="shared" ref="C133:H133" si="52">IFERROR(C125-SUM(C126:C132),"nd")</f>
        <v>nd</v>
      </c>
      <c r="D133" s="170" t="str">
        <f t="shared" si="52"/>
        <v>nd</v>
      </c>
      <c r="E133" s="170" t="str">
        <f t="shared" si="52"/>
        <v>nd</v>
      </c>
      <c r="F133" s="170" t="str">
        <f t="shared" si="52"/>
        <v>nd</v>
      </c>
      <c r="G133" s="170" t="str">
        <f t="shared" si="52"/>
        <v>nd</v>
      </c>
      <c r="H133" s="170" t="str">
        <f t="shared" si="52"/>
        <v>nd</v>
      </c>
      <c r="I133" s="181" t="str">
        <f t="shared" si="51"/>
        <v>-</v>
      </c>
      <c r="J133" s="184" t="str">
        <f t="shared" si="49"/>
        <v>-</v>
      </c>
      <c r="K133" s="171" t="str">
        <f t="shared" si="50"/>
        <v>-</v>
      </c>
    </row>
    <row r="134" spans="2:11" x14ac:dyDescent="0.25">
      <c r="B134" s="156" t="s">
        <v>54</v>
      </c>
      <c r="C134" s="154"/>
      <c r="D134" s="154"/>
      <c r="E134" s="154"/>
      <c r="F134" s="154"/>
      <c r="G134" s="154"/>
      <c r="H134" s="154"/>
      <c r="I134" s="155"/>
      <c r="J134" s="155"/>
      <c r="K134" s="154"/>
    </row>
    <row r="135" spans="2:11" x14ac:dyDescent="0.25">
      <c r="B135" s="157" t="s">
        <v>70</v>
      </c>
      <c r="C135" s="177">
        <f t="shared" ref="C135:H135" si="53">IFERROR(C136+C139,"nd")</f>
        <v>13012</v>
      </c>
      <c r="D135" s="177">
        <f t="shared" si="53"/>
        <v>6263</v>
      </c>
      <c r="E135" s="177">
        <f t="shared" si="53"/>
        <v>21379</v>
      </c>
      <c r="F135" s="177">
        <f t="shared" si="53"/>
        <v>23156</v>
      </c>
      <c r="G135" s="177">
        <f t="shared" si="53"/>
        <v>24437</v>
      </c>
      <c r="H135" s="177">
        <f t="shared" si="53"/>
        <v>25397</v>
      </c>
      <c r="I135" s="178">
        <f>IFERROR(H135/G135-1,"-")</f>
        <v>3.9284691246879833E-2</v>
      </c>
      <c r="J135" s="177">
        <f>IFERROR(H135-G135,"-")</f>
        <v>960</v>
      </c>
      <c r="K135" s="178">
        <f>IFERROR(H135/H$9,"-")</f>
        <v>4.1679864114157236E-2</v>
      </c>
    </row>
    <row r="136" spans="2:11" x14ac:dyDescent="0.25">
      <c r="B136" s="160" t="s">
        <v>99</v>
      </c>
      <c r="C136" s="161">
        <v>742</v>
      </c>
      <c r="D136" s="161">
        <v>3051</v>
      </c>
      <c r="E136" s="161">
        <v>2656</v>
      </c>
      <c r="F136" s="161">
        <v>3844</v>
      </c>
      <c r="G136" s="161">
        <v>2988</v>
      </c>
      <c r="H136" s="161">
        <v>3024</v>
      </c>
      <c r="I136" s="179">
        <f>IFERROR(H136/G136-1,"-")</f>
        <v>1.2048192771084265E-2</v>
      </c>
      <c r="J136" s="182">
        <f t="shared" ref="J136:J147" si="54">IFERROR(H136-G136,"-")</f>
        <v>36</v>
      </c>
      <c r="K136" s="162">
        <f t="shared" ref="K136:K147" si="55">IFERROR(H136/H$9,"-")</f>
        <v>4.9627873009100085E-3</v>
      </c>
    </row>
    <row r="137" spans="2:11" x14ac:dyDescent="0.25">
      <c r="B137" s="164" t="s">
        <v>105</v>
      </c>
      <c r="C137" s="165">
        <v>617</v>
      </c>
      <c r="D137" s="165">
        <v>2088</v>
      </c>
      <c r="E137" s="165">
        <v>1732</v>
      </c>
      <c r="F137" s="165">
        <v>2599</v>
      </c>
      <c r="G137" s="165">
        <v>2079</v>
      </c>
      <c r="H137" s="165">
        <v>1853</v>
      </c>
      <c r="I137" s="180">
        <f>IFERROR(H137/G137-1,"-")</f>
        <v>-0.10870610870610875</v>
      </c>
      <c r="J137" s="183">
        <f t="shared" si="54"/>
        <v>-226</v>
      </c>
      <c r="K137" s="166">
        <f t="shared" si="55"/>
        <v>3.0410201285007428E-3</v>
      </c>
    </row>
    <row r="138" spans="2:11" x14ac:dyDescent="0.25">
      <c r="B138" s="164" t="s">
        <v>102</v>
      </c>
      <c r="C138" s="165">
        <v>125</v>
      </c>
      <c r="D138" s="165">
        <v>963</v>
      </c>
      <c r="E138" s="165">
        <v>924</v>
      </c>
      <c r="F138" s="165">
        <v>1245</v>
      </c>
      <c r="G138" s="165">
        <v>909</v>
      </c>
      <c r="H138" s="165">
        <v>1171</v>
      </c>
      <c r="I138" s="180">
        <f>IFERROR(H138/G138-1,"-")</f>
        <v>0.28822882288228824</v>
      </c>
      <c r="J138" s="183">
        <f t="shared" si="54"/>
        <v>262</v>
      </c>
      <c r="K138" s="166">
        <f t="shared" si="55"/>
        <v>1.9217671724092659E-3</v>
      </c>
    </row>
    <row r="139" spans="2:11" x14ac:dyDescent="0.25">
      <c r="B139" s="160" t="s">
        <v>109</v>
      </c>
      <c r="C139" s="161">
        <v>12270</v>
      </c>
      <c r="D139" s="161">
        <v>3212</v>
      </c>
      <c r="E139" s="161">
        <v>18723</v>
      </c>
      <c r="F139" s="161">
        <v>19312</v>
      </c>
      <c r="G139" s="161">
        <v>21449</v>
      </c>
      <c r="H139" s="161">
        <v>22373</v>
      </c>
      <c r="I139" s="179">
        <f>IFERROR(H139/G139-1,"-")</f>
        <v>4.3078931418714106E-2</v>
      </c>
      <c r="J139" s="182">
        <f t="shared" si="54"/>
        <v>924</v>
      </c>
      <c r="K139" s="162">
        <f t="shared" si="55"/>
        <v>3.6717076813247228E-2</v>
      </c>
    </row>
    <row r="140" spans="2:11" x14ac:dyDescent="0.25">
      <c r="B140" s="164" t="s">
        <v>112</v>
      </c>
      <c r="C140" s="165">
        <v>6096</v>
      </c>
      <c r="D140" s="165">
        <v>126</v>
      </c>
      <c r="E140" s="165">
        <v>6676</v>
      </c>
      <c r="F140" s="165">
        <v>7396</v>
      </c>
      <c r="G140" s="165">
        <v>9052</v>
      </c>
      <c r="H140" s="165">
        <v>9611</v>
      </c>
      <c r="I140" s="180">
        <f t="shared" ref="I140:I147" si="56">IFERROR(H140/G140-1,"-")</f>
        <v>6.1754308440123751E-2</v>
      </c>
      <c r="J140" s="183">
        <f t="shared" si="54"/>
        <v>559</v>
      </c>
      <c r="K140" s="166">
        <f t="shared" si="55"/>
        <v>1.5772932787382968E-2</v>
      </c>
    </row>
    <row r="141" spans="2:11" x14ac:dyDescent="0.25">
      <c r="B141" s="164" t="s">
        <v>115</v>
      </c>
      <c r="C141" s="165">
        <v>664</v>
      </c>
      <c r="D141" s="165">
        <v>278</v>
      </c>
      <c r="E141" s="165">
        <v>1677</v>
      </c>
      <c r="F141" s="165">
        <v>1302</v>
      </c>
      <c r="G141" s="165">
        <v>1480</v>
      </c>
      <c r="H141" s="165">
        <v>1413</v>
      </c>
      <c r="I141" s="180">
        <f t="shared" si="56"/>
        <v>-4.5270270270270307E-2</v>
      </c>
      <c r="J141" s="183">
        <f t="shared" si="54"/>
        <v>-67</v>
      </c>
      <c r="K141" s="166">
        <f t="shared" si="55"/>
        <v>2.318921447151403E-3</v>
      </c>
    </row>
    <row r="142" spans="2:11" x14ac:dyDescent="0.25">
      <c r="B142" s="164" t="s">
        <v>118</v>
      </c>
      <c r="C142" s="165">
        <v>466</v>
      </c>
      <c r="D142" s="165">
        <v>788</v>
      </c>
      <c r="E142" s="165">
        <v>1977</v>
      </c>
      <c r="F142" s="165">
        <v>1966</v>
      </c>
      <c r="G142" s="165">
        <v>1844</v>
      </c>
      <c r="H142" s="165">
        <v>2055</v>
      </c>
      <c r="I142" s="180">
        <f t="shared" si="56"/>
        <v>0.11442516268980474</v>
      </c>
      <c r="J142" s="183">
        <f t="shared" si="54"/>
        <v>211</v>
      </c>
      <c r="K142" s="166">
        <f t="shared" si="55"/>
        <v>3.3725290685747578E-3</v>
      </c>
    </row>
    <row r="143" spans="2:11" x14ac:dyDescent="0.25">
      <c r="B143" s="164" t="s">
        <v>125</v>
      </c>
      <c r="C143" s="165">
        <v>359</v>
      </c>
      <c r="D143" s="165">
        <v>89</v>
      </c>
      <c r="E143" s="165">
        <v>938</v>
      </c>
      <c r="F143" s="165">
        <v>618</v>
      </c>
      <c r="G143" s="165">
        <v>635</v>
      </c>
      <c r="H143" s="165">
        <v>692</v>
      </c>
      <c r="I143" s="180">
        <f t="shared" si="56"/>
        <v>8.9763779527558984E-2</v>
      </c>
      <c r="J143" s="183">
        <f t="shared" si="54"/>
        <v>57</v>
      </c>
      <c r="K143" s="166">
        <f t="shared" si="55"/>
        <v>1.1356642897585073E-3</v>
      </c>
    </row>
    <row r="144" spans="2:11" x14ac:dyDescent="0.25">
      <c r="B144" s="164" t="s">
        <v>121</v>
      </c>
      <c r="C144" s="165">
        <v>190</v>
      </c>
      <c r="D144" s="165">
        <v>48</v>
      </c>
      <c r="E144" s="165">
        <v>492</v>
      </c>
      <c r="F144" s="165">
        <v>324</v>
      </c>
      <c r="G144" s="165">
        <v>449</v>
      </c>
      <c r="H144" s="165">
        <v>428</v>
      </c>
      <c r="I144" s="180">
        <f t="shared" si="56"/>
        <v>-4.6770601336302842E-2</v>
      </c>
      <c r="J144" s="183">
        <f t="shared" si="54"/>
        <v>-21</v>
      </c>
      <c r="K144" s="166">
        <f t="shared" si="55"/>
        <v>7.0240508094890331E-4</v>
      </c>
    </row>
    <row r="145" spans="2:11" x14ac:dyDescent="0.25">
      <c r="B145" s="164" t="s">
        <v>130</v>
      </c>
      <c r="C145" s="165">
        <v>380</v>
      </c>
      <c r="D145" s="165">
        <v>17</v>
      </c>
      <c r="E145" s="165">
        <v>230</v>
      </c>
      <c r="F145" s="165">
        <v>294</v>
      </c>
      <c r="G145" s="165">
        <v>188</v>
      </c>
      <c r="H145" s="165">
        <v>255</v>
      </c>
      <c r="I145" s="180">
        <f t="shared" si="56"/>
        <v>0.3563829787234043</v>
      </c>
      <c r="J145" s="183">
        <f t="shared" si="54"/>
        <v>67</v>
      </c>
      <c r="K145" s="166">
        <f t="shared" si="55"/>
        <v>4.1848900850927653E-4</v>
      </c>
    </row>
    <row r="146" spans="2:11" x14ac:dyDescent="0.25">
      <c r="B146" s="164" t="s">
        <v>133</v>
      </c>
      <c r="C146" s="165">
        <v>656</v>
      </c>
      <c r="D146" s="165">
        <v>4</v>
      </c>
      <c r="E146" s="165">
        <v>163</v>
      </c>
      <c r="F146" s="165">
        <v>293</v>
      </c>
      <c r="G146" s="165">
        <v>306</v>
      </c>
      <c r="H146" s="165">
        <v>287</v>
      </c>
      <c r="I146" s="180">
        <f t="shared" si="56"/>
        <v>-6.2091503267973858E-2</v>
      </c>
      <c r="J146" s="183">
        <f t="shared" si="54"/>
        <v>-19</v>
      </c>
      <c r="K146" s="166">
        <f t="shared" si="55"/>
        <v>4.7100527624377393E-4</v>
      </c>
    </row>
    <row r="147" spans="2:11" x14ac:dyDescent="0.25">
      <c r="B147" s="169" t="s">
        <v>147</v>
      </c>
      <c r="C147" s="170">
        <f t="shared" ref="C147:H147" si="57">IFERROR(C139-SUM(C140:C146),"nd")</f>
        <v>3459</v>
      </c>
      <c r="D147" s="170">
        <f t="shared" si="57"/>
        <v>1862</v>
      </c>
      <c r="E147" s="170">
        <f t="shared" si="57"/>
        <v>6570</v>
      </c>
      <c r="F147" s="170">
        <f t="shared" si="57"/>
        <v>7119</v>
      </c>
      <c r="G147" s="170">
        <f t="shared" si="57"/>
        <v>7495</v>
      </c>
      <c r="H147" s="170">
        <f t="shared" si="57"/>
        <v>7632</v>
      </c>
      <c r="I147" s="181">
        <f t="shared" si="56"/>
        <v>1.8278852568379023E-2</v>
      </c>
      <c r="J147" s="184">
        <f t="shared" si="54"/>
        <v>137</v>
      </c>
      <c r="K147" s="171">
        <f t="shared" si="55"/>
        <v>1.2525129854677641E-2</v>
      </c>
    </row>
    <row r="148" spans="2:11" x14ac:dyDescent="0.25">
      <c r="B148" s="156" t="s">
        <v>55</v>
      </c>
      <c r="C148" s="154"/>
      <c r="D148" s="154"/>
      <c r="E148" s="154"/>
      <c r="F148" s="154"/>
      <c r="G148" s="154"/>
      <c r="H148" s="154"/>
      <c r="I148" s="155"/>
      <c r="J148" s="155"/>
      <c r="K148" s="154"/>
    </row>
    <row r="149" spans="2:11" x14ac:dyDescent="0.25">
      <c r="B149" s="157" t="s">
        <v>70</v>
      </c>
      <c r="C149" s="177">
        <f t="shared" ref="C149:H149" si="58">IFERROR(C150+C153,"nd")</f>
        <v>1913</v>
      </c>
      <c r="D149" s="177">
        <f t="shared" si="58"/>
        <v>559</v>
      </c>
      <c r="E149" s="177">
        <f t="shared" si="58"/>
        <v>6573</v>
      </c>
      <c r="F149" s="177">
        <f t="shared" si="58"/>
        <v>8699</v>
      </c>
      <c r="G149" s="177">
        <f t="shared" si="58"/>
        <v>25293</v>
      </c>
      <c r="H149" s="177">
        <f t="shared" si="58"/>
        <v>24554</v>
      </c>
      <c r="I149" s="178">
        <f>IFERROR(H149/G149-1,"-")</f>
        <v>-2.9217570078677868E-2</v>
      </c>
      <c r="J149" s="177">
        <f>IFERROR(H149-G149,"-")</f>
        <v>-739</v>
      </c>
      <c r="K149" s="178">
        <f>IFERROR(H149/H$9,"-")</f>
        <v>4.0296388686026571E-2</v>
      </c>
    </row>
    <row r="150" spans="2:11" x14ac:dyDescent="0.25">
      <c r="B150" s="160" t="s">
        <v>99</v>
      </c>
      <c r="C150" s="161">
        <v>287</v>
      </c>
      <c r="D150" s="161">
        <v>222</v>
      </c>
      <c r="E150" s="161">
        <v>1037</v>
      </c>
      <c r="F150" s="161">
        <v>1904</v>
      </c>
      <c r="G150" s="161">
        <v>2750</v>
      </c>
      <c r="H150" s="161">
        <v>2587</v>
      </c>
      <c r="I150" s="179">
        <f>IFERROR(H150/G150-1,"-")</f>
        <v>-5.9272727272727255E-2</v>
      </c>
      <c r="J150" s="182">
        <f t="shared" ref="J150:J161" si="59">IFERROR(H150-G150,"-")</f>
        <v>-163</v>
      </c>
      <c r="K150" s="162">
        <f t="shared" ref="K150:K161" si="60">IFERROR(H150/H$9,"-")</f>
        <v>4.2456120196607775E-3</v>
      </c>
    </row>
    <row r="151" spans="2:11" x14ac:dyDescent="0.25">
      <c r="B151" s="164" t="s">
        <v>105</v>
      </c>
      <c r="C151" s="165">
        <v>245</v>
      </c>
      <c r="D151" s="165">
        <v>80</v>
      </c>
      <c r="E151" s="165">
        <v>393</v>
      </c>
      <c r="F151" s="165">
        <v>663</v>
      </c>
      <c r="G151" s="165">
        <v>1944</v>
      </c>
      <c r="H151" s="165">
        <v>1541</v>
      </c>
      <c r="I151" s="180">
        <f>IFERROR(H151/G151-1,"-")</f>
        <v>-0.20730452674897115</v>
      </c>
      <c r="J151" s="183">
        <f t="shared" si="59"/>
        <v>-403</v>
      </c>
      <c r="K151" s="166">
        <f t="shared" si="60"/>
        <v>2.5289865180893926E-3</v>
      </c>
    </row>
    <row r="152" spans="2:11" x14ac:dyDescent="0.25">
      <c r="B152" s="164" t="s">
        <v>102</v>
      </c>
      <c r="C152" s="165">
        <v>42</v>
      </c>
      <c r="D152" s="165">
        <v>142</v>
      </c>
      <c r="E152" s="165">
        <v>644</v>
      </c>
      <c r="F152" s="165">
        <v>1241</v>
      </c>
      <c r="G152" s="165">
        <v>806</v>
      </c>
      <c r="H152" s="165">
        <v>1046</v>
      </c>
      <c r="I152" s="180">
        <f>IFERROR(H152/G152-1,"-")</f>
        <v>0.29776674937965253</v>
      </c>
      <c r="J152" s="183">
        <f t="shared" si="59"/>
        <v>240</v>
      </c>
      <c r="K152" s="166">
        <f t="shared" si="60"/>
        <v>1.7166255015713852E-3</v>
      </c>
    </row>
    <row r="153" spans="2:11" x14ac:dyDescent="0.25">
      <c r="B153" s="160" t="s">
        <v>109</v>
      </c>
      <c r="C153" s="161">
        <v>1626</v>
      </c>
      <c r="D153" s="161">
        <v>337</v>
      </c>
      <c r="E153" s="161">
        <v>5536</v>
      </c>
      <c r="F153" s="161">
        <v>6795</v>
      </c>
      <c r="G153" s="161">
        <v>22543</v>
      </c>
      <c r="H153" s="161">
        <v>21967</v>
      </c>
      <c r="I153" s="179">
        <f>IFERROR(H153/G153-1,"-")</f>
        <v>-2.5551168877256836E-2</v>
      </c>
      <c r="J153" s="182">
        <f t="shared" si="59"/>
        <v>-576</v>
      </c>
      <c r="K153" s="162">
        <f t="shared" si="60"/>
        <v>3.6050776666365796E-2</v>
      </c>
    </row>
    <row r="154" spans="2:11" x14ac:dyDescent="0.25">
      <c r="B154" s="164" t="s">
        <v>112</v>
      </c>
      <c r="C154" s="165">
        <v>279</v>
      </c>
      <c r="D154" s="165">
        <v>8</v>
      </c>
      <c r="E154" s="165">
        <v>2041</v>
      </c>
      <c r="F154" s="165">
        <v>1337</v>
      </c>
      <c r="G154" s="165">
        <v>13167</v>
      </c>
      <c r="H154" s="165">
        <v>13531</v>
      </c>
      <c r="I154" s="180">
        <f t="shared" ref="I154:I161" si="61">IFERROR(H154/G154-1,"-")</f>
        <v>2.7644869750132806E-2</v>
      </c>
      <c r="J154" s="183">
        <f t="shared" si="59"/>
        <v>364</v>
      </c>
      <c r="K154" s="166">
        <f t="shared" si="60"/>
        <v>2.2206175584858902E-2</v>
      </c>
    </row>
    <row r="155" spans="2:11" x14ac:dyDescent="0.25">
      <c r="B155" s="164" t="s">
        <v>115</v>
      </c>
      <c r="C155" s="165">
        <v>422</v>
      </c>
      <c r="D155" s="165">
        <v>96</v>
      </c>
      <c r="E155" s="165">
        <v>944</v>
      </c>
      <c r="F155" s="165">
        <v>1569</v>
      </c>
      <c r="G155" s="165">
        <v>2026</v>
      </c>
      <c r="H155" s="165">
        <v>1542</v>
      </c>
      <c r="I155" s="180">
        <f t="shared" si="61"/>
        <v>-0.23889437314906214</v>
      </c>
      <c r="J155" s="183">
        <f t="shared" si="59"/>
        <v>-484</v>
      </c>
      <c r="K155" s="166">
        <f t="shared" si="60"/>
        <v>2.5306276514560954E-3</v>
      </c>
    </row>
    <row r="156" spans="2:11" x14ac:dyDescent="0.25">
      <c r="B156" s="164" t="s">
        <v>118</v>
      </c>
      <c r="C156" s="165">
        <v>56</v>
      </c>
      <c r="D156" s="165">
        <v>65</v>
      </c>
      <c r="E156" s="165">
        <v>203</v>
      </c>
      <c r="F156" s="165">
        <v>717</v>
      </c>
      <c r="G156" s="165">
        <v>518</v>
      </c>
      <c r="H156" s="165">
        <v>667</v>
      </c>
      <c r="I156" s="180">
        <f t="shared" si="61"/>
        <v>0.28764478764478763</v>
      </c>
      <c r="J156" s="183">
        <f t="shared" si="59"/>
        <v>149</v>
      </c>
      <c r="K156" s="166">
        <f t="shared" si="60"/>
        <v>1.0946359555909311E-3</v>
      </c>
    </row>
    <row r="157" spans="2:11" x14ac:dyDescent="0.25">
      <c r="B157" s="164" t="s">
        <v>125</v>
      </c>
      <c r="C157" s="165">
        <v>28</v>
      </c>
      <c r="D157" s="165">
        <v>4</v>
      </c>
      <c r="E157" s="165">
        <v>762</v>
      </c>
      <c r="F157" s="165">
        <v>426</v>
      </c>
      <c r="G157" s="165">
        <v>1424</v>
      </c>
      <c r="H157" s="165">
        <v>1593</v>
      </c>
      <c r="I157" s="180">
        <f t="shared" si="61"/>
        <v>0.11867977528089879</v>
      </c>
      <c r="J157" s="183">
        <f t="shared" si="59"/>
        <v>169</v>
      </c>
      <c r="K157" s="166">
        <f t="shared" si="60"/>
        <v>2.6143254531579511E-3</v>
      </c>
    </row>
    <row r="158" spans="2:11" x14ac:dyDescent="0.25">
      <c r="B158" s="164" t="s">
        <v>121</v>
      </c>
      <c r="C158" s="165">
        <v>37</v>
      </c>
      <c r="D158" s="165">
        <v>15</v>
      </c>
      <c r="E158" s="165">
        <v>144</v>
      </c>
      <c r="F158" s="165">
        <v>355</v>
      </c>
      <c r="G158" s="165">
        <v>376</v>
      </c>
      <c r="H158" s="165">
        <v>61</v>
      </c>
      <c r="I158" s="180">
        <f t="shared" si="61"/>
        <v>-0.83776595744680848</v>
      </c>
      <c r="J158" s="183">
        <f t="shared" si="59"/>
        <v>-315</v>
      </c>
      <c r="K158" s="166">
        <f t="shared" si="60"/>
        <v>1.0010913536888575E-4</v>
      </c>
    </row>
    <row r="159" spans="2:11" x14ac:dyDescent="0.25">
      <c r="B159" s="164" t="s">
        <v>130</v>
      </c>
      <c r="C159" s="165">
        <v>152</v>
      </c>
      <c r="D159" s="165">
        <v>1</v>
      </c>
      <c r="E159" s="165">
        <v>173</v>
      </c>
      <c r="F159" s="165">
        <v>178</v>
      </c>
      <c r="G159" s="165">
        <v>595</v>
      </c>
      <c r="H159" s="165">
        <v>735</v>
      </c>
      <c r="I159" s="180">
        <f t="shared" si="61"/>
        <v>0.23529411764705888</v>
      </c>
      <c r="J159" s="183">
        <f t="shared" si="59"/>
        <v>140</v>
      </c>
      <c r="K159" s="166">
        <f t="shared" si="60"/>
        <v>1.2062330245267382E-3</v>
      </c>
    </row>
    <row r="160" spans="2:11" x14ac:dyDescent="0.25">
      <c r="B160" s="164" t="s">
        <v>133</v>
      </c>
      <c r="C160" s="165">
        <v>158</v>
      </c>
      <c r="D160" s="165">
        <v>0</v>
      </c>
      <c r="E160" s="165">
        <v>140</v>
      </c>
      <c r="F160" s="165">
        <v>55</v>
      </c>
      <c r="G160" s="165">
        <v>1546</v>
      </c>
      <c r="H160" s="165">
        <v>1405</v>
      </c>
      <c r="I160" s="180">
        <f t="shared" si="61"/>
        <v>-9.1203104786545919E-2</v>
      </c>
      <c r="J160" s="183">
        <f t="shared" si="59"/>
        <v>-141</v>
      </c>
      <c r="K160" s="166">
        <f t="shared" si="60"/>
        <v>2.3057923802177784E-3</v>
      </c>
    </row>
    <row r="161" spans="2:11" x14ac:dyDescent="0.25">
      <c r="B161" s="169" t="s">
        <v>147</v>
      </c>
      <c r="C161" s="170">
        <f t="shared" ref="C161:H161" si="62">IFERROR(C153-SUM(C154:C160),"nd")</f>
        <v>494</v>
      </c>
      <c r="D161" s="170">
        <f t="shared" si="62"/>
        <v>148</v>
      </c>
      <c r="E161" s="170">
        <f t="shared" si="62"/>
        <v>1129</v>
      </c>
      <c r="F161" s="170">
        <f t="shared" si="62"/>
        <v>2158</v>
      </c>
      <c r="G161" s="170">
        <f t="shared" si="62"/>
        <v>2891</v>
      </c>
      <c r="H161" s="170">
        <f t="shared" si="62"/>
        <v>2433</v>
      </c>
      <c r="I161" s="181">
        <f t="shared" si="61"/>
        <v>-0.15842269111034246</v>
      </c>
      <c r="J161" s="184">
        <f t="shared" si="59"/>
        <v>-458</v>
      </c>
      <c r="K161" s="171">
        <f t="shared" si="60"/>
        <v>3.9928774811885089E-3</v>
      </c>
    </row>
    <row r="162" spans="2:11" x14ac:dyDescent="0.25">
      <c r="C162" s="81"/>
      <c r="D162" s="81"/>
      <c r="E162" s="81"/>
      <c r="F162" s="81"/>
      <c r="G162" s="81"/>
      <c r="H162" s="81"/>
      <c r="I162" s="81"/>
    </row>
    <row r="163" spans="2:11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</row>
  </sheetData>
  <mergeCells count="3">
    <mergeCell ref="B4:I4"/>
    <mergeCell ref="C6:K6"/>
    <mergeCell ref="O6:W6"/>
  </mergeCells>
  <pageMargins left="0.25" right="0.25" top="0.75" bottom="0.75" header="0.3" footer="0.3"/>
  <pageSetup paperSize="9" scale="88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B5944A-77CF-4014-9A5D-6285BF349316}">
  <sheetPr>
    <tabColor theme="7" tint="0.79998168889431442"/>
    <pageSetUpPr fitToPage="1"/>
  </sheetPr>
  <dimension ref="A1:Y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6" width="11.7109375" customWidth="1"/>
    <col min="7" max="8" width="11" customWidth="1"/>
    <col min="9" max="10" width="10.5703125" customWidth="1"/>
    <col min="11" max="14" width="11.7109375" customWidth="1"/>
    <col min="15" max="16" width="11" customWidth="1"/>
    <col min="17" max="18" width="10.5703125" customWidth="1"/>
    <col min="19" max="21" width="11.7109375" customWidth="1"/>
    <col min="22" max="23" width="11" customWidth="1"/>
    <col min="24" max="25" width="10.5703125" customWidth="1"/>
  </cols>
  <sheetData>
    <row r="1" spans="1:25" ht="42.75" customHeight="1" x14ac:dyDescent="0.25"/>
    <row r="3" spans="1:25" ht="42" customHeight="1" thickBot="1" x14ac:dyDescent="0.3">
      <c r="B3" s="144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</row>
    <row r="4" spans="1:25" ht="6" customHeight="1" x14ac:dyDescent="0.25"/>
    <row r="5" spans="1:25" ht="15.75" x14ac:dyDescent="0.25">
      <c r="B5" s="185"/>
      <c r="C5" s="311" t="s">
        <v>64</v>
      </c>
      <c r="D5" s="312"/>
      <c r="E5" s="312"/>
      <c r="F5" s="312"/>
      <c r="G5" s="312"/>
      <c r="H5" s="312"/>
      <c r="I5" s="312"/>
      <c r="J5" s="312"/>
      <c r="K5" s="311" t="s">
        <v>63</v>
      </c>
      <c r="L5" s="312"/>
      <c r="M5" s="312"/>
      <c r="N5" s="312"/>
      <c r="O5" s="312"/>
      <c r="P5" s="312"/>
      <c r="Q5" s="312"/>
      <c r="R5" s="312"/>
      <c r="S5" s="311" t="s">
        <v>139</v>
      </c>
      <c r="T5" s="312"/>
      <c r="U5" s="312"/>
      <c r="V5" s="312"/>
      <c r="W5" s="312"/>
      <c r="X5" s="312"/>
      <c r="Y5" s="312"/>
    </row>
    <row r="6" spans="1:25" s="147" customFormat="1" ht="72" customHeight="1" x14ac:dyDescent="0.25">
      <c r="B6" s="148"/>
      <c r="C6" s="173" t="s">
        <v>259</v>
      </c>
      <c r="D6" s="173" t="s">
        <v>260</v>
      </c>
      <c r="E6" s="173" t="s">
        <v>261</v>
      </c>
      <c r="F6" s="173" t="s">
        <v>262</v>
      </c>
      <c r="G6" s="173" t="s">
        <v>263</v>
      </c>
      <c r="H6" s="173" t="s">
        <v>264</v>
      </c>
      <c r="I6" s="174" t="str">
        <f>CONCATENATE("var. ",RIGHT(H6,2),"/",RIGHT(G6,2))</f>
        <v>var. 25/24</v>
      </c>
      <c r="J6" s="174" t="str">
        <f>CONCATENATE("Cuota s/ total lugares de residencia ",RIGHT(H6,4))</f>
        <v>Cuota s/ total lugares de residencia 2025</v>
      </c>
      <c r="K6" s="173" t="s">
        <v>259</v>
      </c>
      <c r="L6" s="173" t="s">
        <v>260</v>
      </c>
      <c r="M6" s="173" t="s">
        <v>261</v>
      </c>
      <c r="N6" s="173" t="s">
        <v>262</v>
      </c>
      <c r="O6" s="173" t="s">
        <v>263</v>
      </c>
      <c r="P6" s="173" t="s">
        <v>264</v>
      </c>
      <c r="Q6" s="174" t="str">
        <f>CONCATENATE("var. ",RIGHT(P6,2),"/",RIGHT(O6,2))</f>
        <v>var. 25/24</v>
      </c>
      <c r="R6" s="174" t="str">
        <f>CONCATENATE("Cuota s/ total lugares de residencia ",RIGHT(P6,4))</f>
        <v>Cuota s/ total lugares de residencia 2025</v>
      </c>
      <c r="S6" s="173" t="s">
        <v>259</v>
      </c>
      <c r="T6" s="173" t="s">
        <v>261</v>
      </c>
      <c r="U6" s="173" t="s">
        <v>262</v>
      </c>
      <c r="V6" s="173" t="s">
        <v>263</v>
      </c>
      <c r="W6" s="173" t="s">
        <v>264</v>
      </c>
      <c r="X6" s="174" t="str">
        <f>CONCATENATE("var. ",RIGHT(W6,2),"/",RIGHT(V6,2))</f>
        <v>var. 25/24</v>
      </c>
      <c r="Y6" s="174" t="str">
        <f>CONCATENATE("Cuota s/ total lugares de residencia ",RIGHT(W6,4))</f>
        <v>Cuota s/ total lugares de residencia 2025</v>
      </c>
    </row>
    <row r="7" spans="1:25" x14ac:dyDescent="0.25">
      <c r="A7" s="1"/>
      <c r="B7" s="153" t="s">
        <v>45</v>
      </c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</row>
    <row r="8" spans="1:25" x14ac:dyDescent="0.25">
      <c r="A8" s="1"/>
      <c r="B8" s="157" t="s">
        <v>70</v>
      </c>
      <c r="C8" s="177">
        <f t="shared" ref="C8:H8" si="0">C9+C12</f>
        <v>148691</v>
      </c>
      <c r="D8" s="177">
        <f t="shared" si="0"/>
        <v>82783</v>
      </c>
      <c r="E8" s="177">
        <f t="shared" si="0"/>
        <v>314593</v>
      </c>
      <c r="F8" s="177">
        <f t="shared" si="0"/>
        <v>374579</v>
      </c>
      <c r="G8" s="177">
        <f t="shared" si="0"/>
        <v>373218</v>
      </c>
      <c r="H8" s="177">
        <f t="shared" si="0"/>
        <v>372782</v>
      </c>
      <c r="I8" s="178">
        <f>IFERROR(H8/G8-1,"-")</f>
        <v>-1.1682180387869723E-3</v>
      </c>
      <c r="J8" s="178">
        <f t="shared" ref="J8:J20" si="1">H8/H$8</f>
        <v>1</v>
      </c>
      <c r="K8" s="177">
        <f t="shared" ref="K8:P8" si="2">K9+K12</f>
        <v>575900</v>
      </c>
      <c r="L8" s="177">
        <f t="shared" si="2"/>
        <v>317849</v>
      </c>
      <c r="M8" s="177">
        <f t="shared" si="2"/>
        <v>1440620</v>
      </c>
      <c r="N8" s="177">
        <f t="shared" si="2"/>
        <v>1617630</v>
      </c>
      <c r="O8" s="177">
        <f t="shared" si="2"/>
        <v>1727598</v>
      </c>
      <c r="P8" s="177">
        <f t="shared" si="2"/>
        <v>1684575</v>
      </c>
      <c r="Q8" s="178">
        <f>IFERROR(P8/O8-1,"-")</f>
        <v>-2.4903362935127293E-2</v>
      </c>
      <c r="R8" s="178">
        <f t="shared" ref="R8:R20" si="3">P8/P$8</f>
        <v>1</v>
      </c>
      <c r="S8" s="177">
        <f>S9+S12</f>
        <v>724591</v>
      </c>
      <c r="T8" s="177">
        <f>T9+T12</f>
        <v>1755213</v>
      </c>
      <c r="U8" s="177">
        <f>U9+U12</f>
        <v>1992209</v>
      </c>
      <c r="V8" s="177">
        <f>V9+V12</f>
        <v>2100816</v>
      </c>
      <c r="W8" s="177">
        <f>W9+W12</f>
        <v>2057357</v>
      </c>
      <c r="X8" s="178">
        <f>IFERROR(W8/V8-1,"-")</f>
        <v>-2.0686723635006565E-2</v>
      </c>
      <c r="Y8" s="178">
        <f>W8/W$8</f>
        <v>1</v>
      </c>
    </row>
    <row r="9" spans="1:25" x14ac:dyDescent="0.25">
      <c r="A9" s="1"/>
      <c r="B9" s="160" t="s">
        <v>99</v>
      </c>
      <c r="C9" s="161">
        <v>30892</v>
      </c>
      <c r="D9" s="161">
        <v>44083</v>
      </c>
      <c r="E9" s="161">
        <v>80727</v>
      </c>
      <c r="F9" s="161">
        <v>105918</v>
      </c>
      <c r="G9" s="161">
        <v>101632</v>
      </c>
      <c r="H9" s="161">
        <v>94184</v>
      </c>
      <c r="I9" s="162">
        <f>IFERROR(H9/G9-1,"-")</f>
        <v>-7.3284005037783428E-2</v>
      </c>
      <c r="J9" s="162">
        <f t="shared" si="1"/>
        <v>0.25265168382593578</v>
      </c>
      <c r="K9" s="161">
        <v>91967</v>
      </c>
      <c r="L9" s="161">
        <v>174617</v>
      </c>
      <c r="M9" s="161">
        <v>302493</v>
      </c>
      <c r="N9" s="161">
        <v>310889</v>
      </c>
      <c r="O9" s="161">
        <v>305650</v>
      </c>
      <c r="P9" s="161">
        <v>307401</v>
      </c>
      <c r="Q9" s="162">
        <f>IFERROR(P9/O9-1,"-")</f>
        <v>5.7287747423524493E-3</v>
      </c>
      <c r="R9" s="162">
        <f t="shared" si="3"/>
        <v>0.18247985396910199</v>
      </c>
      <c r="S9" s="161">
        <v>122859</v>
      </c>
      <c r="T9" s="161">
        <v>383220</v>
      </c>
      <c r="U9" s="161">
        <v>416807</v>
      </c>
      <c r="V9" s="161">
        <v>407282</v>
      </c>
      <c r="W9" s="161">
        <v>401585</v>
      </c>
      <c r="X9" s="162">
        <f>IFERROR(W9/V9-1,"-")</f>
        <v>-1.3987851169459997E-2</v>
      </c>
      <c r="Y9" s="162">
        <f>W9/W$8</f>
        <v>0.19519461133872246</v>
      </c>
    </row>
    <row r="10" spans="1:25" x14ac:dyDescent="0.25">
      <c r="A10" s="163"/>
      <c r="B10" s="164" t="s">
        <v>105</v>
      </c>
      <c r="C10" s="165">
        <v>14381</v>
      </c>
      <c r="D10" s="165">
        <v>32507</v>
      </c>
      <c r="E10" s="165">
        <v>45314</v>
      </c>
      <c r="F10" s="165">
        <v>58355</v>
      </c>
      <c r="G10" s="165">
        <v>55109</v>
      </c>
      <c r="H10" s="165">
        <v>48518</v>
      </c>
      <c r="I10" s="166">
        <f>IFERROR(H10/G10-1,"-")</f>
        <v>-0.11959933949082724</v>
      </c>
      <c r="J10" s="166">
        <f t="shared" si="1"/>
        <v>0.13015113390668004</v>
      </c>
      <c r="K10" s="165">
        <v>26759</v>
      </c>
      <c r="L10" s="165">
        <v>103191</v>
      </c>
      <c r="M10" s="165">
        <v>106479</v>
      </c>
      <c r="N10" s="165">
        <v>100624</v>
      </c>
      <c r="O10" s="165">
        <v>97726</v>
      </c>
      <c r="P10" s="165">
        <v>97516</v>
      </c>
      <c r="Q10" s="166">
        <f>IFERROR(P10/O10-1,"-")</f>
        <v>-2.1488651945235082E-3</v>
      </c>
      <c r="R10" s="166">
        <f t="shared" si="3"/>
        <v>5.7887597762046807E-2</v>
      </c>
      <c r="S10" s="165">
        <v>41140</v>
      </c>
      <c r="T10" s="165">
        <v>151793</v>
      </c>
      <c r="U10" s="165">
        <v>158979</v>
      </c>
      <c r="V10" s="165">
        <v>152835</v>
      </c>
      <c r="W10" s="165">
        <v>146034</v>
      </c>
      <c r="X10" s="166">
        <f>IFERROR(W10/V10-1,"-")</f>
        <v>-4.4498969476886807E-2</v>
      </c>
      <c r="Y10" s="166">
        <f>W10/W$8</f>
        <v>7.0981361037486451E-2</v>
      </c>
    </row>
    <row r="11" spans="1:25" x14ac:dyDescent="0.25">
      <c r="A11" s="163"/>
      <c r="B11" s="164" t="s">
        <v>102</v>
      </c>
      <c r="C11" s="165">
        <v>16511</v>
      </c>
      <c r="D11" s="165">
        <v>11576</v>
      </c>
      <c r="E11" s="165">
        <v>35413</v>
      </c>
      <c r="F11" s="165">
        <v>47563</v>
      </c>
      <c r="G11" s="165">
        <v>46523</v>
      </c>
      <c r="H11" s="165">
        <v>45666</v>
      </c>
      <c r="I11" s="166">
        <f>IFERROR(H11/G11-1,"-")</f>
        <v>-1.8420996066461748E-2</v>
      </c>
      <c r="J11" s="166">
        <f t="shared" si="1"/>
        <v>0.12250054991925576</v>
      </c>
      <c r="K11" s="165">
        <v>65208</v>
      </c>
      <c r="L11" s="165">
        <v>71426</v>
      </c>
      <c r="M11" s="165">
        <v>196014</v>
      </c>
      <c r="N11" s="165">
        <v>210265</v>
      </c>
      <c r="O11" s="165">
        <v>207924</v>
      </c>
      <c r="P11" s="165">
        <v>209885</v>
      </c>
      <c r="Q11" s="166">
        <f>IFERROR(P11/O11-1,"-")</f>
        <v>9.4313306785172024E-3</v>
      </c>
      <c r="R11" s="166">
        <f t="shared" si="3"/>
        <v>0.12459225620705519</v>
      </c>
      <c r="S11" s="165">
        <v>81719</v>
      </c>
      <c r="T11" s="165">
        <v>231427</v>
      </c>
      <c r="U11" s="165">
        <v>257828</v>
      </c>
      <c r="V11" s="165">
        <v>254447</v>
      </c>
      <c r="W11" s="165">
        <v>255551</v>
      </c>
      <c r="X11" s="166">
        <f>IFERROR(W11/V11-1,"-")</f>
        <v>4.3388210511423608E-3</v>
      </c>
      <c r="Y11" s="166">
        <f>W11/W$8</f>
        <v>0.12421325030123601</v>
      </c>
    </row>
    <row r="12" spans="1:25" x14ac:dyDescent="0.25">
      <c r="A12" s="1"/>
      <c r="B12" s="160" t="s">
        <v>109</v>
      </c>
      <c r="C12" s="161">
        <v>117799</v>
      </c>
      <c r="D12" s="161">
        <v>38700</v>
      </c>
      <c r="E12" s="161">
        <v>233866</v>
      </c>
      <c r="F12" s="161">
        <v>268661</v>
      </c>
      <c r="G12" s="161">
        <v>271586</v>
      </c>
      <c r="H12" s="161">
        <v>278598</v>
      </c>
      <c r="I12" s="162">
        <f>IFERROR(H12/G12-1,"-")</f>
        <v>2.5818709359098024E-2</v>
      </c>
      <c r="J12" s="162">
        <f t="shared" si="1"/>
        <v>0.74734831617406416</v>
      </c>
      <c r="K12" s="161">
        <v>483933</v>
      </c>
      <c r="L12" s="161">
        <v>143232</v>
      </c>
      <c r="M12" s="161">
        <v>1138127</v>
      </c>
      <c r="N12" s="161">
        <v>1306741</v>
      </c>
      <c r="O12" s="161">
        <v>1421948</v>
      </c>
      <c r="P12" s="161">
        <v>1377174</v>
      </c>
      <c r="Q12" s="162">
        <f>IFERROR(P12/O12-1,"-")</f>
        <v>-3.1487789989507298E-2</v>
      </c>
      <c r="R12" s="162">
        <f t="shared" si="3"/>
        <v>0.81752014603089795</v>
      </c>
      <c r="S12" s="161">
        <v>601732</v>
      </c>
      <c r="T12" s="161">
        <v>1371993</v>
      </c>
      <c r="U12" s="161">
        <v>1575402</v>
      </c>
      <c r="V12" s="161">
        <v>1693534</v>
      </c>
      <c r="W12" s="161">
        <v>1655772</v>
      </c>
      <c r="X12" s="162">
        <f>IFERROR(W12/V12-1,"-")</f>
        <v>-2.2297751329468429E-2</v>
      </c>
      <c r="Y12" s="162">
        <f>W12/W$8</f>
        <v>0.8048053886612776</v>
      </c>
    </row>
    <row r="13" spans="1:25" s="57" customFormat="1" x14ac:dyDescent="0.25">
      <c r="B13" s="164" t="s">
        <v>112</v>
      </c>
      <c r="C13" s="165">
        <v>39547</v>
      </c>
      <c r="D13" s="165">
        <v>2527</v>
      </c>
      <c r="E13" s="165">
        <v>83953</v>
      </c>
      <c r="F13" s="165">
        <v>105008</v>
      </c>
      <c r="G13" s="165">
        <v>101241</v>
      </c>
      <c r="H13" s="165">
        <v>99103</v>
      </c>
      <c r="I13" s="166">
        <f t="shared" ref="I13:I20" si="4">IFERROR(H13/G13-1,"-")</f>
        <v>-2.1117926531741049E-2</v>
      </c>
      <c r="J13" s="166">
        <f t="shared" si="1"/>
        <v>0.26584706343117426</v>
      </c>
      <c r="K13" s="165">
        <v>200754</v>
      </c>
      <c r="L13" s="165">
        <v>7398</v>
      </c>
      <c r="M13" s="165">
        <v>519743</v>
      </c>
      <c r="N13" s="165">
        <v>594690</v>
      </c>
      <c r="O13" s="165">
        <v>647744</v>
      </c>
      <c r="P13" s="165">
        <v>638915</v>
      </c>
      <c r="Q13" s="166">
        <f t="shared" ref="Q13:Q20" si="5">IFERROR(P13/O13-1,"-")</f>
        <v>-1.363038484339496E-2</v>
      </c>
      <c r="R13" s="166">
        <f t="shared" si="3"/>
        <v>0.37927370404998295</v>
      </c>
      <c r="S13" s="165">
        <v>240301</v>
      </c>
      <c r="T13" s="165">
        <v>603696</v>
      </c>
      <c r="U13" s="165">
        <v>699698</v>
      </c>
      <c r="V13" s="165">
        <v>748985</v>
      </c>
      <c r="W13" s="165">
        <v>738018</v>
      </c>
      <c r="X13" s="166">
        <f t="shared" ref="X13:X20" si="6">IFERROR(W13/V13-1,"-")</f>
        <v>-1.464248282675884E-2</v>
      </c>
      <c r="Y13" s="166">
        <f t="shared" ref="Y13:Y20" si="7">W13/W$8</f>
        <v>0.35872140809786535</v>
      </c>
    </row>
    <row r="14" spans="1:25" s="57" customFormat="1" x14ac:dyDescent="0.25">
      <c r="B14" s="164" t="s">
        <v>115</v>
      </c>
      <c r="C14" s="165">
        <v>18311</v>
      </c>
      <c r="D14" s="165">
        <v>7686</v>
      </c>
      <c r="E14" s="165">
        <v>30532</v>
      </c>
      <c r="F14" s="165">
        <v>36832</v>
      </c>
      <c r="G14" s="165">
        <v>36990</v>
      </c>
      <c r="H14" s="165">
        <v>38441</v>
      </c>
      <c r="I14" s="166">
        <f t="shared" si="4"/>
        <v>3.9226818058934798E-2</v>
      </c>
      <c r="J14" s="166">
        <f t="shared" si="1"/>
        <v>0.1031192493199779</v>
      </c>
      <c r="K14" s="165">
        <v>68786</v>
      </c>
      <c r="L14" s="165">
        <v>23036</v>
      </c>
      <c r="M14" s="165">
        <v>131246</v>
      </c>
      <c r="N14" s="165">
        <v>154990</v>
      </c>
      <c r="O14" s="165">
        <v>164380</v>
      </c>
      <c r="P14" s="165">
        <v>154807</v>
      </c>
      <c r="Q14" s="166">
        <f t="shared" si="5"/>
        <v>-5.8237011801922423E-2</v>
      </c>
      <c r="R14" s="166">
        <f t="shared" si="3"/>
        <v>9.1896769214787108E-2</v>
      </c>
      <c r="S14" s="165">
        <v>87097</v>
      </c>
      <c r="T14" s="165">
        <v>161778</v>
      </c>
      <c r="U14" s="165">
        <v>191822</v>
      </c>
      <c r="V14" s="165">
        <v>201370</v>
      </c>
      <c r="W14" s="165">
        <v>193248</v>
      </c>
      <c r="X14" s="166">
        <f t="shared" si="6"/>
        <v>-4.03337140586979E-2</v>
      </c>
      <c r="Y14" s="166">
        <f t="shared" si="7"/>
        <v>9.3930222124794099E-2</v>
      </c>
    </row>
    <row r="15" spans="1:25" x14ac:dyDescent="0.25">
      <c r="A15" s="1"/>
      <c r="B15" s="164" t="s">
        <v>118</v>
      </c>
      <c r="C15" s="165">
        <v>7641</v>
      </c>
      <c r="D15" s="165">
        <v>7901</v>
      </c>
      <c r="E15" s="165">
        <v>15503</v>
      </c>
      <c r="F15" s="165">
        <v>18876</v>
      </c>
      <c r="G15" s="165">
        <v>16692</v>
      </c>
      <c r="H15" s="165">
        <v>17266</v>
      </c>
      <c r="I15" s="166">
        <f t="shared" si="4"/>
        <v>3.4387730649412918E-2</v>
      </c>
      <c r="J15" s="166">
        <f t="shared" si="1"/>
        <v>4.6316613999602983E-2</v>
      </c>
      <c r="K15" s="165">
        <v>24259</v>
      </c>
      <c r="L15" s="165">
        <v>26683</v>
      </c>
      <c r="M15" s="165">
        <v>64940</v>
      </c>
      <c r="N15" s="165">
        <v>73044</v>
      </c>
      <c r="O15" s="165">
        <v>81550</v>
      </c>
      <c r="P15" s="165">
        <v>73730</v>
      </c>
      <c r="Q15" s="166">
        <f t="shared" si="5"/>
        <v>-9.5892090741876101E-2</v>
      </c>
      <c r="R15" s="166">
        <f t="shared" si="3"/>
        <v>4.3767715892732588E-2</v>
      </c>
      <c r="S15" s="165">
        <v>31900</v>
      </c>
      <c r="T15" s="165">
        <v>80443</v>
      </c>
      <c r="U15" s="165">
        <v>91920</v>
      </c>
      <c r="V15" s="165">
        <v>98242</v>
      </c>
      <c r="W15" s="165">
        <v>90996</v>
      </c>
      <c r="X15" s="166">
        <f t="shared" si="6"/>
        <v>-7.3756641762179109E-2</v>
      </c>
      <c r="Y15" s="166">
        <f t="shared" si="7"/>
        <v>4.4229562492071141E-2</v>
      </c>
    </row>
    <row r="16" spans="1:25" x14ac:dyDescent="0.25">
      <c r="A16" s="1"/>
      <c r="B16" s="164" t="s">
        <v>125</v>
      </c>
      <c r="C16" s="165">
        <v>3334</v>
      </c>
      <c r="D16" s="165">
        <v>528</v>
      </c>
      <c r="E16" s="165">
        <v>8934</v>
      </c>
      <c r="F16" s="165">
        <v>6717</v>
      </c>
      <c r="G16" s="165">
        <v>6777</v>
      </c>
      <c r="H16" s="165">
        <v>6773</v>
      </c>
      <c r="I16" s="166">
        <f t="shared" si="4"/>
        <v>-5.9023166592886422E-4</v>
      </c>
      <c r="J16" s="166">
        <f t="shared" si="1"/>
        <v>1.8168795703655219E-2</v>
      </c>
      <c r="K16" s="165">
        <v>16002</v>
      </c>
      <c r="L16" s="165">
        <v>5783</v>
      </c>
      <c r="M16" s="165">
        <v>54681</v>
      </c>
      <c r="N16" s="165">
        <v>48199</v>
      </c>
      <c r="O16" s="165">
        <v>54704</v>
      </c>
      <c r="P16" s="165">
        <v>49342</v>
      </c>
      <c r="Q16" s="166">
        <f t="shared" si="5"/>
        <v>-9.8018426440479645E-2</v>
      </c>
      <c r="R16" s="166">
        <f t="shared" si="3"/>
        <v>2.9290473858391581E-2</v>
      </c>
      <c r="S16" s="165">
        <v>19336</v>
      </c>
      <c r="T16" s="165">
        <v>63615</v>
      </c>
      <c r="U16" s="165">
        <v>54916</v>
      </c>
      <c r="V16" s="165">
        <v>61481</v>
      </c>
      <c r="W16" s="165">
        <v>56115</v>
      </c>
      <c r="X16" s="166">
        <f t="shared" si="6"/>
        <v>-8.7278996763227701E-2</v>
      </c>
      <c r="Y16" s="166">
        <f t="shared" si="7"/>
        <v>2.7275285718521385E-2</v>
      </c>
    </row>
    <row r="17" spans="1:25" x14ac:dyDescent="0.25">
      <c r="A17" s="57"/>
      <c r="B17" s="164" t="s">
        <v>121</v>
      </c>
      <c r="C17" s="165">
        <v>2305</v>
      </c>
      <c r="D17" s="165">
        <v>933</v>
      </c>
      <c r="E17" s="165">
        <v>4860</v>
      </c>
      <c r="F17" s="165">
        <v>4385</v>
      </c>
      <c r="G17" s="165">
        <v>4722</v>
      </c>
      <c r="H17" s="165">
        <v>4750</v>
      </c>
      <c r="I17" s="166">
        <f t="shared" si="4"/>
        <v>5.9296908089792044E-3</v>
      </c>
      <c r="J17" s="166">
        <f t="shared" si="1"/>
        <v>1.2742031535857418E-2</v>
      </c>
      <c r="K17" s="165">
        <v>23899</v>
      </c>
      <c r="L17" s="165">
        <v>10347</v>
      </c>
      <c r="M17" s="165">
        <v>59161</v>
      </c>
      <c r="N17" s="165">
        <v>58414</v>
      </c>
      <c r="O17" s="165">
        <v>62671</v>
      </c>
      <c r="P17" s="165">
        <v>56982</v>
      </c>
      <c r="Q17" s="166">
        <f t="shared" si="5"/>
        <v>-9.0775637854829228E-2</v>
      </c>
      <c r="R17" s="166">
        <f t="shared" si="3"/>
        <v>3.3825742397934198E-2</v>
      </c>
      <c r="S17" s="165">
        <v>26204</v>
      </c>
      <c r="T17" s="165">
        <v>64021</v>
      </c>
      <c r="U17" s="165">
        <v>62799</v>
      </c>
      <c r="V17" s="165">
        <v>67393</v>
      </c>
      <c r="W17" s="165">
        <v>61732</v>
      </c>
      <c r="X17" s="166">
        <f t="shared" si="6"/>
        <v>-8.3999821939964137E-2</v>
      </c>
      <c r="Y17" s="166">
        <f t="shared" si="7"/>
        <v>3.0005487623198112E-2</v>
      </c>
    </row>
    <row r="18" spans="1:25" x14ac:dyDescent="0.25">
      <c r="A18" s="57"/>
      <c r="B18" s="164" t="s">
        <v>130</v>
      </c>
      <c r="C18" s="165">
        <v>3269</v>
      </c>
      <c r="D18" s="165">
        <v>85</v>
      </c>
      <c r="E18" s="165">
        <v>3334</v>
      </c>
      <c r="F18" s="165">
        <v>4011</v>
      </c>
      <c r="G18" s="165">
        <v>3227</v>
      </c>
      <c r="H18" s="165">
        <v>3417</v>
      </c>
      <c r="I18" s="166">
        <f t="shared" si="4"/>
        <v>5.8878215060427674E-2</v>
      </c>
      <c r="J18" s="166">
        <f t="shared" si="1"/>
        <v>9.1662151069525893E-3</v>
      </c>
      <c r="K18" s="165">
        <v>14707</v>
      </c>
      <c r="L18" s="165">
        <v>348</v>
      </c>
      <c r="M18" s="165">
        <v>18295</v>
      </c>
      <c r="N18" s="165">
        <v>24215</v>
      </c>
      <c r="O18" s="165">
        <v>21589</v>
      </c>
      <c r="P18" s="165">
        <v>20631</v>
      </c>
      <c r="Q18" s="166">
        <f t="shared" si="5"/>
        <v>-4.4374449951364081E-2</v>
      </c>
      <c r="R18" s="166">
        <f t="shared" si="3"/>
        <v>1.2247005921374827E-2</v>
      </c>
      <c r="S18" s="165">
        <v>17976</v>
      </c>
      <c r="T18" s="165">
        <v>21629</v>
      </c>
      <c r="U18" s="165">
        <v>28226</v>
      </c>
      <c r="V18" s="165">
        <v>24816</v>
      </c>
      <c r="W18" s="165">
        <v>24048</v>
      </c>
      <c r="X18" s="166">
        <f t="shared" si="6"/>
        <v>-3.0947775628626717E-2</v>
      </c>
      <c r="Y18" s="166">
        <f t="shared" si="7"/>
        <v>1.1688783230134584E-2</v>
      </c>
    </row>
    <row r="19" spans="1:25" x14ac:dyDescent="0.25">
      <c r="A19" s="57"/>
      <c r="B19" s="164" t="s">
        <v>133</v>
      </c>
      <c r="C19" s="165">
        <v>3260</v>
      </c>
      <c r="D19" s="165">
        <v>208</v>
      </c>
      <c r="E19" s="165">
        <v>1956</v>
      </c>
      <c r="F19" s="165">
        <v>2428</v>
      </c>
      <c r="G19" s="165">
        <v>1984</v>
      </c>
      <c r="H19" s="165">
        <v>2151</v>
      </c>
      <c r="I19" s="166">
        <f t="shared" si="4"/>
        <v>8.4173387096774244E-2</v>
      </c>
      <c r="J19" s="166">
        <f t="shared" si="1"/>
        <v>5.7701283860272226E-3</v>
      </c>
      <c r="K19" s="165">
        <v>20819</v>
      </c>
      <c r="L19" s="165">
        <v>1131</v>
      </c>
      <c r="M19" s="165">
        <v>13592</v>
      </c>
      <c r="N19" s="165">
        <v>22312</v>
      </c>
      <c r="O19" s="165">
        <v>21868</v>
      </c>
      <c r="P19" s="165">
        <v>18282</v>
      </c>
      <c r="Q19" s="166">
        <f t="shared" si="5"/>
        <v>-0.16398390342052316</v>
      </c>
      <c r="R19" s="166">
        <f t="shared" si="3"/>
        <v>1.0852588931926451E-2</v>
      </c>
      <c r="S19" s="165">
        <v>24079</v>
      </c>
      <c r="T19" s="165">
        <v>15548</v>
      </c>
      <c r="U19" s="165">
        <v>24740</v>
      </c>
      <c r="V19" s="165">
        <v>23852</v>
      </c>
      <c r="W19" s="165">
        <v>20433</v>
      </c>
      <c r="X19" s="166">
        <f t="shared" si="6"/>
        <v>-0.1433422773771591</v>
      </c>
      <c r="Y19" s="166">
        <f t="shared" si="7"/>
        <v>9.9316744736086156E-3</v>
      </c>
    </row>
    <row r="20" spans="1:25" x14ac:dyDescent="0.25">
      <c r="A20" s="57"/>
      <c r="B20" s="169" t="s">
        <v>147</v>
      </c>
      <c r="C20" s="170">
        <f t="shared" ref="C20" si="8">C12-SUM(C13:C19)</f>
        <v>40132</v>
      </c>
      <c r="D20" s="170">
        <f t="shared" ref="D20:H20" si="9">D12-SUM(D13:D19)</f>
        <v>18832</v>
      </c>
      <c r="E20" s="170">
        <f t="shared" si="9"/>
        <v>84794</v>
      </c>
      <c r="F20" s="170">
        <f t="shared" si="9"/>
        <v>90404</v>
      </c>
      <c r="G20" s="170">
        <f t="shared" si="9"/>
        <v>99953</v>
      </c>
      <c r="H20" s="170">
        <f t="shared" si="9"/>
        <v>106697</v>
      </c>
      <c r="I20" s="171">
        <f t="shared" si="4"/>
        <v>6.7471711704501169E-2</v>
      </c>
      <c r="J20" s="171">
        <f t="shared" si="1"/>
        <v>0.28621821869081659</v>
      </c>
      <c r="K20" s="170">
        <f t="shared" ref="K20:P20" si="10">K12-SUM(K13:K19)</f>
        <v>114707</v>
      </c>
      <c r="L20" s="170">
        <f t="shared" si="10"/>
        <v>68506</v>
      </c>
      <c r="M20" s="170">
        <f t="shared" si="10"/>
        <v>276469</v>
      </c>
      <c r="N20" s="170">
        <f t="shared" si="10"/>
        <v>330877</v>
      </c>
      <c r="O20" s="170">
        <f t="shared" si="10"/>
        <v>367442</v>
      </c>
      <c r="P20" s="170">
        <f t="shared" si="10"/>
        <v>364485</v>
      </c>
      <c r="Q20" s="171">
        <f t="shared" si="5"/>
        <v>-8.0475285895461601E-3</v>
      </c>
      <c r="R20" s="171">
        <f t="shared" si="3"/>
        <v>0.21636614576376831</v>
      </c>
      <c r="S20" s="170">
        <f>S12-SUM(S13:S19)</f>
        <v>154839</v>
      </c>
      <c r="T20" s="170">
        <f>T12-SUM(T13:T19)</f>
        <v>361263</v>
      </c>
      <c r="U20" s="170">
        <f>U12-SUM(U13:U19)</f>
        <v>421281</v>
      </c>
      <c r="V20" s="170">
        <f>V12-SUM(V13:V19)</f>
        <v>467395</v>
      </c>
      <c r="W20" s="170">
        <f>W12-SUM(W13:W19)</f>
        <v>471182</v>
      </c>
      <c r="X20" s="171">
        <f t="shared" si="6"/>
        <v>8.1023545395222385E-3</v>
      </c>
      <c r="Y20" s="171">
        <f t="shared" si="7"/>
        <v>0.22902296490108426</v>
      </c>
    </row>
    <row r="21" spans="1:25" x14ac:dyDescent="0.25">
      <c r="A21" s="57"/>
      <c r="B21" s="156" t="s">
        <v>46</v>
      </c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  <c r="N21" s="154"/>
      <c r="O21" s="154"/>
      <c r="P21" s="154"/>
      <c r="Q21" s="154"/>
      <c r="R21" s="154"/>
      <c r="S21" s="154"/>
      <c r="T21" s="154"/>
      <c r="U21" s="154"/>
      <c r="V21" s="154"/>
      <c r="W21" s="154"/>
      <c r="X21" s="154"/>
      <c r="Y21" s="154"/>
    </row>
    <row r="22" spans="1:25" x14ac:dyDescent="0.25">
      <c r="A22" s="57"/>
      <c r="B22" s="157" t="s">
        <v>70</v>
      </c>
      <c r="C22" s="177">
        <f t="shared" ref="C22:H22" si="11">C23+C26</f>
        <v>35847</v>
      </c>
      <c r="D22" s="177">
        <f t="shared" si="11"/>
        <v>3659</v>
      </c>
      <c r="E22" s="177">
        <f t="shared" si="11"/>
        <v>75055</v>
      </c>
      <c r="F22" s="177">
        <f t="shared" si="11"/>
        <v>81791</v>
      </c>
      <c r="G22" s="177">
        <f t="shared" si="11"/>
        <v>76873</v>
      </c>
      <c r="H22" s="177">
        <f t="shared" si="11"/>
        <v>78987</v>
      </c>
      <c r="I22" s="178">
        <f>IFERROR(H22/G22-1,"-")</f>
        <v>2.7499902436486146E-2</v>
      </c>
      <c r="J22" s="178">
        <f t="shared" ref="J22:J34" si="12">H22/H$8</f>
        <v>0.21188523051005681</v>
      </c>
      <c r="K22" s="177">
        <f t="shared" ref="K22:P22" si="13">K23+K26</f>
        <v>243977</v>
      </c>
      <c r="L22" s="177">
        <f t="shared" si="13"/>
        <v>147521</v>
      </c>
      <c r="M22" s="177">
        <f t="shared" si="13"/>
        <v>638621</v>
      </c>
      <c r="N22" s="177">
        <f t="shared" si="13"/>
        <v>669357</v>
      </c>
      <c r="O22" s="177">
        <f t="shared" si="13"/>
        <v>705143</v>
      </c>
      <c r="P22" s="177">
        <f t="shared" si="13"/>
        <v>656124</v>
      </c>
      <c r="Q22" s="178">
        <f>IFERROR(P22/O22-1,"-")</f>
        <v>-6.9516395965073752E-2</v>
      </c>
      <c r="R22" s="178">
        <f t="shared" ref="R22:R34" si="14">P22/P$8</f>
        <v>0.38948933707314903</v>
      </c>
      <c r="S22" s="177">
        <f>S23+S26</f>
        <v>279824</v>
      </c>
      <c r="T22" s="177">
        <f>T23+T26</f>
        <v>713676</v>
      </c>
      <c r="U22" s="177">
        <f>U23+U26</f>
        <v>751148</v>
      </c>
      <c r="V22" s="177">
        <f>V23+V26</f>
        <v>782016</v>
      </c>
      <c r="W22" s="177">
        <f>W23+W26</f>
        <v>735111</v>
      </c>
      <c r="X22" s="178">
        <f>IFERROR(W22/V22-1,"-")</f>
        <v>-5.9979591210409966E-2</v>
      </c>
      <c r="Y22" s="178">
        <f>W22/W$8</f>
        <v>0.35730843018494118</v>
      </c>
    </row>
    <row r="23" spans="1:25" x14ac:dyDescent="0.25">
      <c r="A23" s="57"/>
      <c r="B23" s="160" t="s">
        <v>99</v>
      </c>
      <c r="C23" s="161">
        <v>1527</v>
      </c>
      <c r="D23" s="161">
        <v>1234</v>
      </c>
      <c r="E23" s="161">
        <v>5900</v>
      </c>
      <c r="F23" s="161">
        <v>5529</v>
      </c>
      <c r="G23" s="161">
        <v>3207</v>
      </c>
      <c r="H23" s="161">
        <v>3980</v>
      </c>
      <c r="I23" s="162">
        <f>IFERROR(H23/G23-1,"-")</f>
        <v>0.24103523542251315</v>
      </c>
      <c r="J23" s="162">
        <f t="shared" si="12"/>
        <v>1.0676481160571058E-2</v>
      </c>
      <c r="K23" s="161">
        <v>15120</v>
      </c>
      <c r="L23" s="161">
        <v>74246</v>
      </c>
      <c r="M23" s="161">
        <v>68811</v>
      </c>
      <c r="N23" s="161">
        <v>57743</v>
      </c>
      <c r="O23" s="161">
        <v>50844</v>
      </c>
      <c r="P23" s="161">
        <v>44728</v>
      </c>
      <c r="Q23" s="162">
        <f>IFERROR(P23/O23-1,"-")</f>
        <v>-0.12028951302021873</v>
      </c>
      <c r="R23" s="162">
        <f t="shared" si="14"/>
        <v>2.6551504088568333E-2</v>
      </c>
      <c r="S23" s="161">
        <v>16647</v>
      </c>
      <c r="T23" s="161">
        <v>74711</v>
      </c>
      <c r="U23" s="161">
        <v>63272</v>
      </c>
      <c r="V23" s="161">
        <v>54051</v>
      </c>
      <c r="W23" s="161">
        <v>48708</v>
      </c>
      <c r="X23" s="162">
        <f>IFERROR(W23/V23-1,"-")</f>
        <v>-9.8851085086307355E-2</v>
      </c>
      <c r="Y23" s="162">
        <f>W23/W$8</f>
        <v>2.3675035494569004E-2</v>
      </c>
    </row>
    <row r="24" spans="1:25" x14ac:dyDescent="0.25">
      <c r="A24" s="57"/>
      <c r="B24" s="164" t="s">
        <v>105</v>
      </c>
      <c r="C24" s="165">
        <v>1004</v>
      </c>
      <c r="D24" s="165">
        <v>707</v>
      </c>
      <c r="E24" s="165">
        <v>3487</v>
      </c>
      <c r="F24" s="165">
        <v>2842</v>
      </c>
      <c r="G24" s="165">
        <v>1030</v>
      </c>
      <c r="H24" s="165">
        <v>1371</v>
      </c>
      <c r="I24" s="166">
        <f>IFERROR(H24/G24-1,"-")</f>
        <v>0.33106796116504844</v>
      </c>
      <c r="J24" s="166">
        <f t="shared" si="12"/>
        <v>3.6777526811916884E-3</v>
      </c>
      <c r="K24" s="165">
        <v>5468</v>
      </c>
      <c r="L24" s="165">
        <v>43372</v>
      </c>
      <c r="M24" s="165">
        <v>28351</v>
      </c>
      <c r="N24" s="165">
        <v>22457</v>
      </c>
      <c r="O24" s="165">
        <v>17534</v>
      </c>
      <c r="P24" s="165">
        <v>20459</v>
      </c>
      <c r="Q24" s="166">
        <f>IFERROR(P24/O24-1,"-")</f>
        <v>0.1668187521387019</v>
      </c>
      <c r="R24" s="166">
        <f t="shared" si="14"/>
        <v>1.214490301708146E-2</v>
      </c>
      <c r="S24" s="165">
        <v>6472</v>
      </c>
      <c r="T24" s="165">
        <v>31838</v>
      </c>
      <c r="U24" s="165">
        <v>25299</v>
      </c>
      <c r="V24" s="165">
        <v>18564</v>
      </c>
      <c r="W24" s="165">
        <v>21830</v>
      </c>
      <c r="X24" s="166">
        <f>IFERROR(W24/V24-1,"-")</f>
        <v>0.17593191122602891</v>
      </c>
      <c r="Y24" s="166">
        <f>W24/W$8</f>
        <v>1.0610701011054473E-2</v>
      </c>
    </row>
    <row r="25" spans="1:25" x14ac:dyDescent="0.25">
      <c r="A25" s="57"/>
      <c r="B25" s="164" t="s">
        <v>102</v>
      </c>
      <c r="C25" s="165">
        <v>523</v>
      </c>
      <c r="D25" s="165">
        <v>527</v>
      </c>
      <c r="E25" s="165">
        <v>2413</v>
      </c>
      <c r="F25" s="165">
        <v>2687</v>
      </c>
      <c r="G25" s="165">
        <v>2177</v>
      </c>
      <c r="H25" s="165">
        <v>2609</v>
      </c>
      <c r="I25" s="166">
        <f>IFERROR(H25/G25-1,"-")</f>
        <v>0.19843821773082215</v>
      </c>
      <c r="J25" s="166">
        <f t="shared" si="12"/>
        <v>6.9987284793793696E-3</v>
      </c>
      <c r="K25" s="165">
        <v>9652</v>
      </c>
      <c r="L25" s="165">
        <v>30874</v>
      </c>
      <c r="M25" s="165">
        <v>40460</v>
      </c>
      <c r="N25" s="165">
        <v>35286</v>
      </c>
      <c r="O25" s="165">
        <v>33310</v>
      </c>
      <c r="P25" s="165">
        <v>24269</v>
      </c>
      <c r="Q25" s="166">
        <f>IFERROR(P25/O25-1,"-")</f>
        <v>-0.27141999399579708</v>
      </c>
      <c r="R25" s="166">
        <f t="shared" si="14"/>
        <v>1.4406601071486873E-2</v>
      </c>
      <c r="S25" s="165">
        <v>10175</v>
      </c>
      <c r="T25" s="165">
        <v>42873</v>
      </c>
      <c r="U25" s="165">
        <v>37973</v>
      </c>
      <c r="V25" s="165">
        <v>35487</v>
      </c>
      <c r="W25" s="165">
        <v>26878</v>
      </c>
      <c r="X25" s="166">
        <f>IFERROR(W25/V25-1,"-")</f>
        <v>-0.24259588018147493</v>
      </c>
      <c r="Y25" s="166">
        <f>W25/W$8</f>
        <v>1.3064334483514529E-2</v>
      </c>
    </row>
    <row r="26" spans="1:25" x14ac:dyDescent="0.25">
      <c r="A26" s="57"/>
      <c r="B26" s="160" t="s">
        <v>109</v>
      </c>
      <c r="C26" s="161">
        <v>34320</v>
      </c>
      <c r="D26" s="161">
        <v>2425</v>
      </c>
      <c r="E26" s="161">
        <v>69155</v>
      </c>
      <c r="F26" s="161">
        <v>76262</v>
      </c>
      <c r="G26" s="161">
        <v>73666</v>
      </c>
      <c r="H26" s="161">
        <v>75007</v>
      </c>
      <c r="I26" s="162">
        <f>IFERROR(H26/G26-1,"-")</f>
        <v>1.8203784649634791E-2</v>
      </c>
      <c r="J26" s="162">
        <f t="shared" si="12"/>
        <v>0.20120874934948577</v>
      </c>
      <c r="K26" s="161">
        <v>228857</v>
      </c>
      <c r="L26" s="161">
        <v>73275</v>
      </c>
      <c r="M26" s="161">
        <v>569810</v>
      </c>
      <c r="N26" s="161">
        <v>611614</v>
      </c>
      <c r="O26" s="161">
        <v>654299</v>
      </c>
      <c r="P26" s="161">
        <v>611396</v>
      </c>
      <c r="Q26" s="162">
        <f>IFERROR(P26/O26-1,"-")</f>
        <v>-6.5570939280053975E-2</v>
      </c>
      <c r="R26" s="162">
        <f t="shared" si="14"/>
        <v>0.36293783298458066</v>
      </c>
      <c r="S26" s="161">
        <v>263177</v>
      </c>
      <c r="T26" s="161">
        <v>638965</v>
      </c>
      <c r="U26" s="161">
        <v>687876</v>
      </c>
      <c r="V26" s="161">
        <v>727965</v>
      </c>
      <c r="W26" s="161">
        <v>686403</v>
      </c>
      <c r="X26" s="162">
        <f>IFERROR(W26/V26-1,"-")</f>
        <v>-5.7093404215862065E-2</v>
      </c>
      <c r="Y26" s="162">
        <f>W26/W$8</f>
        <v>0.33363339469037218</v>
      </c>
    </row>
    <row r="27" spans="1:25" s="57" customFormat="1" x14ac:dyDescent="0.25">
      <c r="B27" s="164" t="s">
        <v>112</v>
      </c>
      <c r="C27" s="165">
        <v>13636</v>
      </c>
      <c r="D27" s="165">
        <v>32</v>
      </c>
      <c r="E27" s="165">
        <v>28289</v>
      </c>
      <c r="F27" s="165">
        <v>32638</v>
      </c>
      <c r="G27" s="165">
        <v>32449</v>
      </c>
      <c r="H27" s="165">
        <v>32060</v>
      </c>
      <c r="I27" s="166">
        <f t="shared" ref="I27:I34" si="15">IFERROR(H27/G27-1,"-")</f>
        <v>-1.198804277481591E-2</v>
      </c>
      <c r="J27" s="166">
        <f t="shared" si="12"/>
        <v>8.6002006534650274E-2</v>
      </c>
      <c r="K27" s="165">
        <v>101958</v>
      </c>
      <c r="L27" s="165">
        <v>3718</v>
      </c>
      <c r="M27" s="165">
        <v>283619</v>
      </c>
      <c r="N27" s="165">
        <v>309104</v>
      </c>
      <c r="O27" s="165">
        <v>331871</v>
      </c>
      <c r="P27" s="165">
        <v>314942</v>
      </c>
      <c r="Q27" s="166">
        <f t="shared" ref="Q27:Q34" si="16">IFERROR(P27/O27-1,"-")</f>
        <v>-5.1010784310771329E-2</v>
      </c>
      <c r="R27" s="166">
        <f t="shared" si="14"/>
        <v>0.18695635397652227</v>
      </c>
      <c r="S27" s="165">
        <v>115594</v>
      </c>
      <c r="T27" s="165">
        <v>311908</v>
      </c>
      <c r="U27" s="165">
        <v>341742</v>
      </c>
      <c r="V27" s="165">
        <v>364320</v>
      </c>
      <c r="W27" s="165">
        <v>347002</v>
      </c>
      <c r="X27" s="166">
        <f t="shared" ref="X27:X34" si="17">IFERROR(W27/V27-1,"-")</f>
        <v>-4.7535133948177433E-2</v>
      </c>
      <c r="Y27" s="166">
        <f t="shared" ref="Y27:Y34" si="18">W27/W$8</f>
        <v>0.16866397032697777</v>
      </c>
    </row>
    <row r="28" spans="1:25" s="57" customFormat="1" x14ac:dyDescent="0.25">
      <c r="B28" s="164" t="s">
        <v>115</v>
      </c>
      <c r="C28" s="165">
        <v>5913</v>
      </c>
      <c r="D28" s="165">
        <v>325</v>
      </c>
      <c r="E28" s="165">
        <v>12422</v>
      </c>
      <c r="F28" s="165">
        <v>14878</v>
      </c>
      <c r="G28" s="165">
        <v>13852</v>
      </c>
      <c r="H28" s="165">
        <v>14561</v>
      </c>
      <c r="I28" s="166">
        <f t="shared" si="15"/>
        <v>5.11839445567428E-2</v>
      </c>
      <c r="J28" s="166">
        <f t="shared" si="12"/>
        <v>3.9060362356551553E-2</v>
      </c>
      <c r="K28" s="165">
        <v>28236</v>
      </c>
      <c r="L28" s="165">
        <v>12866</v>
      </c>
      <c r="M28" s="165">
        <v>61573</v>
      </c>
      <c r="N28" s="165">
        <v>67700</v>
      </c>
      <c r="O28" s="165">
        <v>69664</v>
      </c>
      <c r="P28" s="165">
        <v>62357</v>
      </c>
      <c r="Q28" s="166">
        <f t="shared" si="16"/>
        <v>-0.10488918236104727</v>
      </c>
      <c r="R28" s="166">
        <f t="shared" si="14"/>
        <v>3.7016458157101938E-2</v>
      </c>
      <c r="S28" s="165">
        <v>34149</v>
      </c>
      <c r="T28" s="165">
        <v>73995</v>
      </c>
      <c r="U28" s="165">
        <v>82578</v>
      </c>
      <c r="V28" s="165">
        <v>83516</v>
      </c>
      <c r="W28" s="165">
        <v>76918</v>
      </c>
      <c r="X28" s="166">
        <f t="shared" si="17"/>
        <v>-7.9002825805833621E-2</v>
      </c>
      <c r="Y28" s="166">
        <f t="shared" si="18"/>
        <v>3.7386802582147875E-2</v>
      </c>
    </row>
    <row r="29" spans="1:25" x14ac:dyDescent="0.25">
      <c r="A29" s="57"/>
      <c r="B29" s="164" t="s">
        <v>118</v>
      </c>
      <c r="C29" s="165">
        <v>2029</v>
      </c>
      <c r="D29" s="165">
        <v>1460</v>
      </c>
      <c r="E29" s="165">
        <v>2093</v>
      </c>
      <c r="F29" s="165">
        <v>1739</v>
      </c>
      <c r="G29" s="165">
        <v>1555</v>
      </c>
      <c r="H29" s="165">
        <v>1702</v>
      </c>
      <c r="I29" s="166">
        <f t="shared" si="15"/>
        <v>9.453376205787789E-2</v>
      </c>
      <c r="J29" s="166">
        <f t="shared" si="12"/>
        <v>4.5656710892693318E-3</v>
      </c>
      <c r="K29" s="165">
        <v>8997</v>
      </c>
      <c r="L29" s="165">
        <v>11399</v>
      </c>
      <c r="M29" s="165">
        <v>24634</v>
      </c>
      <c r="N29" s="165">
        <v>23419</v>
      </c>
      <c r="O29" s="165">
        <v>21089</v>
      </c>
      <c r="P29" s="165">
        <v>19226</v>
      </c>
      <c r="Q29" s="166">
        <f t="shared" si="16"/>
        <v>-8.8339892835127332E-2</v>
      </c>
      <c r="R29" s="166">
        <f t="shared" si="14"/>
        <v>1.1412967662466795E-2</v>
      </c>
      <c r="S29" s="165">
        <v>11026</v>
      </c>
      <c r="T29" s="165">
        <v>26727</v>
      </c>
      <c r="U29" s="165">
        <v>25158</v>
      </c>
      <c r="V29" s="165">
        <v>22644</v>
      </c>
      <c r="W29" s="165">
        <v>20928</v>
      </c>
      <c r="X29" s="166">
        <f t="shared" si="17"/>
        <v>-7.5781664016958183E-2</v>
      </c>
      <c r="Y29" s="166">
        <f t="shared" si="18"/>
        <v>1.0172274427821716E-2</v>
      </c>
    </row>
    <row r="30" spans="1:25" x14ac:dyDescent="0.25">
      <c r="A30" s="57"/>
      <c r="B30" s="164" t="s">
        <v>125</v>
      </c>
      <c r="C30" s="165">
        <v>1607</v>
      </c>
      <c r="D30" s="165">
        <v>24</v>
      </c>
      <c r="E30" s="165">
        <v>3772</v>
      </c>
      <c r="F30" s="165">
        <v>2097</v>
      </c>
      <c r="G30" s="165">
        <v>1607</v>
      </c>
      <c r="H30" s="165">
        <v>1707</v>
      </c>
      <c r="I30" s="166">
        <f t="shared" si="15"/>
        <v>6.2227753578095735E-2</v>
      </c>
      <c r="J30" s="166">
        <f t="shared" si="12"/>
        <v>4.5790837540439187E-3</v>
      </c>
      <c r="K30" s="165">
        <v>8621</v>
      </c>
      <c r="L30" s="165">
        <v>3071</v>
      </c>
      <c r="M30" s="165">
        <v>30838</v>
      </c>
      <c r="N30" s="165">
        <v>25442</v>
      </c>
      <c r="O30" s="165">
        <v>28150</v>
      </c>
      <c r="P30" s="165">
        <v>25171</v>
      </c>
      <c r="Q30" s="166">
        <f t="shared" si="16"/>
        <v>-0.1058259325044405</v>
      </c>
      <c r="R30" s="166">
        <f t="shared" si="14"/>
        <v>1.4942047697490465E-2</v>
      </c>
      <c r="S30" s="165">
        <v>10228</v>
      </c>
      <c r="T30" s="165">
        <v>34610</v>
      </c>
      <c r="U30" s="165">
        <v>27539</v>
      </c>
      <c r="V30" s="165">
        <v>29757</v>
      </c>
      <c r="W30" s="165">
        <v>26878</v>
      </c>
      <c r="X30" s="166">
        <f t="shared" si="17"/>
        <v>-9.6750344456766446E-2</v>
      </c>
      <c r="Y30" s="166">
        <f t="shared" si="18"/>
        <v>1.3064334483514529E-2</v>
      </c>
    </row>
    <row r="31" spans="1:25" x14ac:dyDescent="0.25">
      <c r="A31" s="57"/>
      <c r="B31" s="164" t="s">
        <v>121</v>
      </c>
      <c r="C31" s="165">
        <v>1003</v>
      </c>
      <c r="D31" s="165">
        <v>79</v>
      </c>
      <c r="E31" s="165">
        <v>2111</v>
      </c>
      <c r="F31" s="165">
        <v>1557</v>
      </c>
      <c r="G31" s="165">
        <v>1181</v>
      </c>
      <c r="H31" s="165">
        <v>1205</v>
      </c>
      <c r="I31" s="166">
        <f t="shared" si="15"/>
        <v>2.0321761219305623E-2</v>
      </c>
      <c r="J31" s="166">
        <f t="shared" si="12"/>
        <v>3.2324522106754084E-3</v>
      </c>
      <c r="K31" s="165">
        <v>13673</v>
      </c>
      <c r="L31" s="165">
        <v>6597</v>
      </c>
      <c r="M31" s="165">
        <v>37193</v>
      </c>
      <c r="N31" s="165">
        <v>33833</v>
      </c>
      <c r="O31" s="165">
        <v>35579</v>
      </c>
      <c r="P31" s="165">
        <v>34035</v>
      </c>
      <c r="Q31" s="166">
        <f t="shared" si="16"/>
        <v>-4.3396385508305491E-2</v>
      </c>
      <c r="R31" s="166">
        <f t="shared" si="14"/>
        <v>2.0203908997818442E-2</v>
      </c>
      <c r="S31" s="165">
        <v>14676</v>
      </c>
      <c r="T31" s="165">
        <v>39304</v>
      </c>
      <c r="U31" s="165">
        <v>35390</v>
      </c>
      <c r="V31" s="165">
        <v>36760</v>
      </c>
      <c r="W31" s="165">
        <v>35240</v>
      </c>
      <c r="X31" s="166">
        <f t="shared" si="17"/>
        <v>-4.1349292709466856E-2</v>
      </c>
      <c r="Y31" s="166">
        <f t="shared" si="18"/>
        <v>1.7128772497918446E-2</v>
      </c>
    </row>
    <row r="32" spans="1:25" x14ac:dyDescent="0.25">
      <c r="A32" s="57"/>
      <c r="B32" s="164" t="s">
        <v>130</v>
      </c>
      <c r="C32" s="165">
        <v>1374</v>
      </c>
      <c r="D32" s="165">
        <v>0</v>
      </c>
      <c r="E32" s="165">
        <v>1094</v>
      </c>
      <c r="F32" s="165">
        <v>1507</v>
      </c>
      <c r="G32" s="165">
        <v>1552</v>
      </c>
      <c r="H32" s="165">
        <v>1355</v>
      </c>
      <c r="I32" s="166">
        <f t="shared" si="15"/>
        <v>-0.12693298969072164</v>
      </c>
      <c r="J32" s="166">
        <f t="shared" si="12"/>
        <v>3.634832153913011E-3</v>
      </c>
      <c r="K32" s="165">
        <v>8151</v>
      </c>
      <c r="L32" s="165">
        <v>129</v>
      </c>
      <c r="M32" s="165">
        <v>10449</v>
      </c>
      <c r="N32" s="165">
        <v>11370</v>
      </c>
      <c r="O32" s="165">
        <v>10400</v>
      </c>
      <c r="P32" s="165">
        <v>9404</v>
      </c>
      <c r="Q32" s="166">
        <f t="shared" si="16"/>
        <v>-9.5769230769230718E-2</v>
      </c>
      <c r="R32" s="166">
        <f t="shared" si="14"/>
        <v>5.582416930086224E-3</v>
      </c>
      <c r="S32" s="165">
        <v>9525</v>
      </c>
      <c r="T32" s="165">
        <v>11543</v>
      </c>
      <c r="U32" s="165">
        <v>12877</v>
      </c>
      <c r="V32" s="165">
        <v>11952</v>
      </c>
      <c r="W32" s="165">
        <v>10759</v>
      </c>
      <c r="X32" s="166">
        <f t="shared" si="17"/>
        <v>-9.9815930388219565E-2</v>
      </c>
      <c r="Y32" s="166">
        <f t="shared" si="18"/>
        <v>5.2295250654115933E-3</v>
      </c>
    </row>
    <row r="33" spans="1:25" x14ac:dyDescent="0.25">
      <c r="A33" s="57"/>
      <c r="B33" s="164" t="s">
        <v>133</v>
      </c>
      <c r="C33" s="165">
        <v>662</v>
      </c>
      <c r="D33" s="165">
        <v>3</v>
      </c>
      <c r="E33" s="165">
        <v>373</v>
      </c>
      <c r="F33" s="165">
        <v>543</v>
      </c>
      <c r="G33" s="165">
        <v>322</v>
      </c>
      <c r="H33" s="165">
        <v>277</v>
      </c>
      <c r="I33" s="166">
        <f t="shared" si="15"/>
        <v>-0.13975155279503104</v>
      </c>
      <c r="J33" s="166">
        <f t="shared" si="12"/>
        <v>7.4306162851210623E-4</v>
      </c>
      <c r="K33" s="165">
        <v>10437</v>
      </c>
      <c r="L33" s="165">
        <v>205</v>
      </c>
      <c r="M33" s="165">
        <v>6748</v>
      </c>
      <c r="N33" s="165">
        <v>11186</v>
      </c>
      <c r="O33" s="165">
        <v>10892</v>
      </c>
      <c r="P33" s="165">
        <v>9362</v>
      </c>
      <c r="Q33" s="166">
        <f t="shared" si="16"/>
        <v>-0.14047006977598242</v>
      </c>
      <c r="R33" s="166">
        <f t="shared" si="14"/>
        <v>5.5574848255494714E-3</v>
      </c>
      <c r="S33" s="165">
        <v>11099</v>
      </c>
      <c r="T33" s="165">
        <v>7121</v>
      </c>
      <c r="U33" s="165">
        <v>11729</v>
      </c>
      <c r="V33" s="165">
        <v>11214</v>
      </c>
      <c r="W33" s="165">
        <v>9639</v>
      </c>
      <c r="X33" s="166">
        <f t="shared" si="17"/>
        <v>-0.1404494382022472</v>
      </c>
      <c r="Y33" s="166">
        <f t="shared" si="18"/>
        <v>4.6851372902223581E-3</v>
      </c>
    </row>
    <row r="34" spans="1:25" x14ac:dyDescent="0.25">
      <c r="A34" s="57"/>
      <c r="B34" s="169" t="s">
        <v>147</v>
      </c>
      <c r="C34" s="170">
        <f t="shared" ref="C34" si="19">C26-SUM(C27:C33)</f>
        <v>8096</v>
      </c>
      <c r="D34" s="170">
        <f t="shared" ref="D34:H34" si="20">D26-SUM(D27:D33)</f>
        <v>502</v>
      </c>
      <c r="E34" s="170">
        <f t="shared" si="20"/>
        <v>19001</v>
      </c>
      <c r="F34" s="170">
        <f t="shared" si="20"/>
        <v>21303</v>
      </c>
      <c r="G34" s="170">
        <f t="shared" si="20"/>
        <v>21148</v>
      </c>
      <c r="H34" s="170">
        <f t="shared" si="20"/>
        <v>22140</v>
      </c>
      <c r="I34" s="171">
        <f t="shared" si="15"/>
        <v>4.6907508984301183E-2</v>
      </c>
      <c r="J34" s="171">
        <f t="shared" si="12"/>
        <v>5.9391279621870158E-2</v>
      </c>
      <c r="K34" s="170">
        <f t="shared" ref="K34:P34" si="21">K26-SUM(K27:K33)</f>
        <v>48784</v>
      </c>
      <c r="L34" s="170">
        <f t="shared" si="21"/>
        <v>35290</v>
      </c>
      <c r="M34" s="170">
        <f t="shared" si="21"/>
        <v>114756</v>
      </c>
      <c r="N34" s="170">
        <f t="shared" si="21"/>
        <v>129560</v>
      </c>
      <c r="O34" s="170">
        <f t="shared" si="21"/>
        <v>146654</v>
      </c>
      <c r="P34" s="170">
        <f t="shared" si="21"/>
        <v>136899</v>
      </c>
      <c r="Q34" s="171">
        <f t="shared" si="16"/>
        <v>-6.6517108295716443E-2</v>
      </c>
      <c r="R34" s="171">
        <f t="shared" si="14"/>
        <v>8.126619473754508E-2</v>
      </c>
      <c r="S34" s="170">
        <f>S26-SUM(S27:S33)</f>
        <v>56880</v>
      </c>
      <c r="T34" s="170">
        <f>T26-SUM(T27:T33)</f>
        <v>133757</v>
      </c>
      <c r="U34" s="170">
        <f>U26-SUM(U27:U33)</f>
        <v>150863</v>
      </c>
      <c r="V34" s="170">
        <f>V26-SUM(V27:V33)</f>
        <v>167802</v>
      </c>
      <c r="W34" s="170">
        <f>W26-SUM(W27:W33)</f>
        <v>159039</v>
      </c>
      <c r="X34" s="171">
        <f t="shared" si="17"/>
        <v>-5.2222261951585747E-2</v>
      </c>
      <c r="Y34" s="171">
        <f t="shared" si="18"/>
        <v>7.7302578016357884E-2</v>
      </c>
    </row>
    <row r="35" spans="1:25" x14ac:dyDescent="0.25">
      <c r="A35" s="57"/>
      <c r="B35" s="156" t="s">
        <v>47</v>
      </c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  <c r="N35" s="154"/>
      <c r="O35" s="154"/>
      <c r="P35" s="154"/>
      <c r="Q35" s="154"/>
      <c r="R35" s="154"/>
      <c r="S35" s="154"/>
      <c r="T35" s="154"/>
      <c r="U35" s="154"/>
      <c r="V35" s="154"/>
      <c r="W35" s="154"/>
      <c r="X35" s="154"/>
      <c r="Y35" s="154"/>
    </row>
    <row r="36" spans="1:25" x14ac:dyDescent="0.25">
      <c r="A36" s="57"/>
      <c r="B36" s="157" t="s">
        <v>70</v>
      </c>
      <c r="C36" s="177">
        <f t="shared" ref="C36:H36" si="22">C37+C40</f>
        <v>39616</v>
      </c>
      <c r="D36" s="177">
        <f t="shared" si="22"/>
        <v>4640</v>
      </c>
      <c r="E36" s="177">
        <f t="shared" si="22"/>
        <v>82311</v>
      </c>
      <c r="F36" s="177">
        <f t="shared" si="22"/>
        <v>98641</v>
      </c>
      <c r="G36" s="177">
        <f t="shared" si="22"/>
        <v>100861</v>
      </c>
      <c r="H36" s="177">
        <f t="shared" si="22"/>
        <v>95008</v>
      </c>
      <c r="I36" s="178">
        <f>IFERROR(H36/G36-1,"-")</f>
        <v>-5.8030358612347732E-2</v>
      </c>
      <c r="J36" s="178">
        <f t="shared" ref="J36:J48" si="23">H36/H$8</f>
        <v>0.25486209098078771</v>
      </c>
      <c r="K36" s="177">
        <f t="shared" ref="K36:P36" si="24">K37+K40</f>
        <v>107490</v>
      </c>
      <c r="L36" s="177">
        <f t="shared" si="24"/>
        <v>19317</v>
      </c>
      <c r="M36" s="177">
        <f t="shared" si="24"/>
        <v>257587</v>
      </c>
      <c r="N36" s="177">
        <f t="shared" si="24"/>
        <v>292456</v>
      </c>
      <c r="O36" s="177">
        <f t="shared" si="24"/>
        <v>311918</v>
      </c>
      <c r="P36" s="177">
        <f t="shared" si="24"/>
        <v>332717</v>
      </c>
      <c r="Q36" s="178">
        <f>IFERROR(P36/O36-1,"-")</f>
        <v>6.668098666957345E-2</v>
      </c>
      <c r="R36" s="178">
        <f t="shared" ref="R36:R48" si="25">P36/P$8</f>
        <v>0.19750797678939791</v>
      </c>
      <c r="S36" s="177">
        <f>S37+S40</f>
        <v>147106</v>
      </c>
      <c r="T36" s="177">
        <f>T37+T40</f>
        <v>339898</v>
      </c>
      <c r="U36" s="177">
        <f>U37+U40</f>
        <v>391097</v>
      </c>
      <c r="V36" s="177">
        <f>V37+V40</f>
        <v>412779</v>
      </c>
      <c r="W36" s="177">
        <f>W37+W40</f>
        <v>427725</v>
      </c>
      <c r="X36" s="178">
        <f>IFERROR(W36/V36-1,"-")</f>
        <v>3.6208237337655325E-2</v>
      </c>
      <c r="Y36" s="178">
        <f>W36/W$8</f>
        <v>0.20790023316322837</v>
      </c>
    </row>
    <row r="37" spans="1:25" x14ac:dyDescent="0.25">
      <c r="A37" s="57"/>
      <c r="B37" s="160" t="s">
        <v>99</v>
      </c>
      <c r="C37" s="161">
        <v>2530</v>
      </c>
      <c r="D37" s="161">
        <v>1583</v>
      </c>
      <c r="E37" s="161">
        <v>10369</v>
      </c>
      <c r="F37" s="161">
        <v>13961</v>
      </c>
      <c r="G37" s="161">
        <v>13301</v>
      </c>
      <c r="H37" s="161">
        <v>10125</v>
      </c>
      <c r="I37" s="162">
        <f>IFERROR(H37/G37-1,"-")</f>
        <v>-0.23877903916998722</v>
      </c>
      <c r="J37" s="162">
        <f t="shared" si="23"/>
        <v>2.716064616853818E-2</v>
      </c>
      <c r="K37" s="161">
        <v>7136</v>
      </c>
      <c r="L37" s="161">
        <v>4977</v>
      </c>
      <c r="M37" s="161">
        <v>24024</v>
      </c>
      <c r="N37" s="161">
        <v>20566</v>
      </c>
      <c r="O37" s="161">
        <v>19475</v>
      </c>
      <c r="P37" s="161">
        <v>24026</v>
      </c>
      <c r="Q37" s="162">
        <f>IFERROR(P37/O37-1,"-")</f>
        <v>0.23368421052631572</v>
      </c>
      <c r="R37" s="162">
        <f t="shared" si="25"/>
        <v>1.4262351038095662E-2</v>
      </c>
      <c r="S37" s="161">
        <v>9666</v>
      </c>
      <c r="T37" s="161">
        <v>34393</v>
      </c>
      <c r="U37" s="161">
        <v>34527</v>
      </c>
      <c r="V37" s="161">
        <v>32776</v>
      </c>
      <c r="W37" s="161">
        <v>34151</v>
      </c>
      <c r="X37" s="162">
        <f>IFERROR(W37/V37-1,"-")</f>
        <v>4.1951427874054259E-2</v>
      </c>
      <c r="Y37" s="162">
        <f>W37/W$8</f>
        <v>1.6599452598649627E-2</v>
      </c>
    </row>
    <row r="38" spans="1:25" x14ac:dyDescent="0.25">
      <c r="A38" s="57"/>
      <c r="B38" s="164" t="s">
        <v>105</v>
      </c>
      <c r="C38" s="165">
        <v>1111</v>
      </c>
      <c r="D38" s="165">
        <v>1360</v>
      </c>
      <c r="E38" s="165">
        <v>5108</v>
      </c>
      <c r="F38" s="165">
        <v>7015</v>
      </c>
      <c r="G38" s="165">
        <v>9238</v>
      </c>
      <c r="H38" s="165">
        <v>5839</v>
      </c>
      <c r="I38" s="166">
        <f>IFERROR(H38/G38-1,"-")</f>
        <v>-0.36793678285343145</v>
      </c>
      <c r="J38" s="166">
        <f t="shared" si="23"/>
        <v>1.5663309923762414E-2</v>
      </c>
      <c r="K38" s="165">
        <v>954</v>
      </c>
      <c r="L38" s="165">
        <v>1758</v>
      </c>
      <c r="M38" s="165">
        <v>3863</v>
      </c>
      <c r="N38" s="165">
        <v>3628</v>
      </c>
      <c r="O38" s="165">
        <v>3788</v>
      </c>
      <c r="P38" s="165">
        <v>6534</v>
      </c>
      <c r="Q38" s="166">
        <f>IFERROR(P38/O38-1,"-")</f>
        <v>0.72492080253431901</v>
      </c>
      <c r="R38" s="166">
        <f t="shared" si="25"/>
        <v>3.8787231200747962E-3</v>
      </c>
      <c r="S38" s="165">
        <v>2065</v>
      </c>
      <c r="T38" s="165">
        <v>8971</v>
      </c>
      <c r="U38" s="165">
        <v>10643</v>
      </c>
      <c r="V38" s="165">
        <v>13026</v>
      </c>
      <c r="W38" s="165">
        <v>12373</v>
      </c>
      <c r="X38" s="166">
        <f>IFERROR(W38/V38-1,"-")</f>
        <v>-5.0130508214340508E-2</v>
      </c>
      <c r="Y38" s="166">
        <f>W38/W$8</f>
        <v>6.0140267343003666E-3</v>
      </c>
    </row>
    <row r="39" spans="1:25" x14ac:dyDescent="0.25">
      <c r="A39" s="57"/>
      <c r="B39" s="164" t="s">
        <v>102</v>
      </c>
      <c r="C39" s="165">
        <v>1419</v>
      </c>
      <c r="D39" s="165">
        <v>223</v>
      </c>
      <c r="E39" s="165">
        <v>5261</v>
      </c>
      <c r="F39" s="165">
        <v>6946</v>
      </c>
      <c r="G39" s="165">
        <v>4063</v>
      </c>
      <c r="H39" s="165">
        <v>4286</v>
      </c>
      <c r="I39" s="166">
        <f>IFERROR(H39/G39-1,"-")</f>
        <v>5.4885552547378813E-2</v>
      </c>
      <c r="J39" s="166">
        <f t="shared" si="23"/>
        <v>1.1497336244775768E-2</v>
      </c>
      <c r="K39" s="165">
        <v>6182</v>
      </c>
      <c r="L39" s="165">
        <v>3219</v>
      </c>
      <c r="M39" s="165">
        <v>20161</v>
      </c>
      <c r="N39" s="165">
        <v>16938</v>
      </c>
      <c r="O39" s="165">
        <v>15687</v>
      </c>
      <c r="P39" s="165">
        <v>17492</v>
      </c>
      <c r="Q39" s="166">
        <f>IFERROR(P39/O39-1,"-")</f>
        <v>0.11506342831644045</v>
      </c>
      <c r="R39" s="166">
        <f t="shared" si="25"/>
        <v>1.0383627918020865E-2</v>
      </c>
      <c r="S39" s="165">
        <v>7601</v>
      </c>
      <c r="T39" s="165">
        <v>25422</v>
      </c>
      <c r="U39" s="165">
        <v>23884</v>
      </c>
      <c r="V39" s="165">
        <v>19750</v>
      </c>
      <c r="W39" s="165">
        <v>21778</v>
      </c>
      <c r="X39" s="166">
        <f>IFERROR(W39/V39-1,"-")</f>
        <v>0.10268354430379745</v>
      </c>
      <c r="Y39" s="166">
        <f>W39/W$8</f>
        <v>1.058542586434926E-2</v>
      </c>
    </row>
    <row r="40" spans="1:25" x14ac:dyDescent="0.25">
      <c r="A40" s="57"/>
      <c r="B40" s="160" t="s">
        <v>109</v>
      </c>
      <c r="C40" s="161">
        <v>37086</v>
      </c>
      <c r="D40" s="161">
        <v>3057</v>
      </c>
      <c r="E40" s="161">
        <v>71942</v>
      </c>
      <c r="F40" s="161">
        <v>84680</v>
      </c>
      <c r="G40" s="161">
        <v>87560</v>
      </c>
      <c r="H40" s="161">
        <v>84883</v>
      </c>
      <c r="I40" s="162">
        <f>IFERROR(H40/G40-1,"-")</f>
        <v>-3.0573321151210586E-2</v>
      </c>
      <c r="J40" s="162">
        <f t="shared" si="23"/>
        <v>0.22770144481224952</v>
      </c>
      <c r="K40" s="161">
        <v>100354</v>
      </c>
      <c r="L40" s="161">
        <v>14340</v>
      </c>
      <c r="M40" s="161">
        <v>233563</v>
      </c>
      <c r="N40" s="161">
        <v>271890</v>
      </c>
      <c r="O40" s="161">
        <v>292443</v>
      </c>
      <c r="P40" s="161">
        <v>308691</v>
      </c>
      <c r="Q40" s="162">
        <f>IFERROR(P40/O40-1,"-")</f>
        <v>5.5559544936962135E-2</v>
      </c>
      <c r="R40" s="162">
        <f t="shared" si="25"/>
        <v>0.18324562575130227</v>
      </c>
      <c r="S40" s="161">
        <v>137440</v>
      </c>
      <c r="T40" s="161">
        <v>305505</v>
      </c>
      <c r="U40" s="161">
        <v>356570</v>
      </c>
      <c r="V40" s="161">
        <v>380003</v>
      </c>
      <c r="W40" s="161">
        <v>393574</v>
      </c>
      <c r="X40" s="162">
        <f>IFERROR(W40/V40-1,"-")</f>
        <v>3.5712875950979273E-2</v>
      </c>
      <c r="Y40" s="162">
        <f>W40/W$8</f>
        <v>0.19130078056457872</v>
      </c>
    </row>
    <row r="41" spans="1:25" s="57" customFormat="1" x14ac:dyDescent="0.25">
      <c r="B41" s="164" t="s">
        <v>112</v>
      </c>
      <c r="C41" s="165">
        <v>18060</v>
      </c>
      <c r="D41" s="165">
        <v>85</v>
      </c>
      <c r="E41" s="165">
        <v>34390</v>
      </c>
      <c r="F41" s="165">
        <v>36718</v>
      </c>
      <c r="G41" s="165">
        <v>36555</v>
      </c>
      <c r="H41" s="165">
        <v>33076</v>
      </c>
      <c r="I41" s="166">
        <f t="shared" ref="I41:I48" si="26">IFERROR(H41/G41-1,"-")</f>
        <v>-9.5171659143756027E-2</v>
      </c>
      <c r="J41" s="166">
        <f t="shared" si="23"/>
        <v>8.872746001684631E-2</v>
      </c>
      <c r="K41" s="165">
        <v>48199</v>
      </c>
      <c r="L41" s="165">
        <v>596</v>
      </c>
      <c r="M41" s="165">
        <v>118443</v>
      </c>
      <c r="N41" s="165">
        <v>141293</v>
      </c>
      <c r="O41" s="165">
        <v>159154</v>
      </c>
      <c r="P41" s="165">
        <v>166370</v>
      </c>
      <c r="Q41" s="166">
        <f t="shared" ref="Q41:Q48" si="27">IFERROR(P41/O41-1,"-")</f>
        <v>4.5339733842693297E-2</v>
      </c>
      <c r="R41" s="166">
        <f t="shared" si="25"/>
        <v>9.8760815042369735E-2</v>
      </c>
      <c r="S41" s="165">
        <v>66259</v>
      </c>
      <c r="T41" s="165">
        <v>152833</v>
      </c>
      <c r="U41" s="165">
        <v>178011</v>
      </c>
      <c r="V41" s="165">
        <v>195709</v>
      </c>
      <c r="W41" s="165">
        <v>199446</v>
      </c>
      <c r="X41" s="166">
        <f t="shared" ref="X41:X48" si="28">IFERROR(W41/V41-1,"-")</f>
        <v>1.9094676279578282E-2</v>
      </c>
      <c r="Y41" s="166">
        <f t="shared" ref="Y41:Y48" si="29">W41/W$8</f>
        <v>9.6942825187850232E-2</v>
      </c>
    </row>
    <row r="42" spans="1:25" s="57" customFormat="1" x14ac:dyDescent="0.25">
      <c r="B42" s="164" t="s">
        <v>115</v>
      </c>
      <c r="C42" s="165">
        <v>2861</v>
      </c>
      <c r="D42" s="165">
        <v>120</v>
      </c>
      <c r="E42" s="165">
        <v>3125</v>
      </c>
      <c r="F42" s="165">
        <v>5279</v>
      </c>
      <c r="G42" s="165">
        <v>5543</v>
      </c>
      <c r="H42" s="165">
        <v>6114</v>
      </c>
      <c r="I42" s="166">
        <f t="shared" si="26"/>
        <v>0.10301280894822296</v>
      </c>
      <c r="J42" s="166">
        <f t="shared" si="23"/>
        <v>1.6401006486364684E-2</v>
      </c>
      <c r="K42" s="165">
        <v>5618</v>
      </c>
      <c r="L42" s="165">
        <v>1331</v>
      </c>
      <c r="M42" s="165">
        <v>9399</v>
      </c>
      <c r="N42" s="165">
        <v>11997</v>
      </c>
      <c r="O42" s="165">
        <v>10496</v>
      </c>
      <c r="P42" s="165">
        <v>10421</v>
      </c>
      <c r="Q42" s="166">
        <f t="shared" si="27"/>
        <v>-7.1455792682927344E-3</v>
      </c>
      <c r="R42" s="166">
        <f t="shared" si="25"/>
        <v>6.1861300327975899E-3</v>
      </c>
      <c r="S42" s="165">
        <v>8479</v>
      </c>
      <c r="T42" s="165">
        <v>12524</v>
      </c>
      <c r="U42" s="165">
        <v>17276</v>
      </c>
      <c r="V42" s="165">
        <v>16039</v>
      </c>
      <c r="W42" s="165">
        <v>16535</v>
      </c>
      <c r="X42" s="166">
        <f t="shared" si="28"/>
        <v>3.0924621235737915E-2</v>
      </c>
      <c r="Y42" s="166">
        <f t="shared" si="29"/>
        <v>8.0370105917446505E-3</v>
      </c>
    </row>
    <row r="43" spans="1:25" x14ac:dyDescent="0.25">
      <c r="A43" s="57"/>
      <c r="B43" s="164" t="s">
        <v>118</v>
      </c>
      <c r="C43" s="165">
        <v>1616</v>
      </c>
      <c r="D43" s="165">
        <v>211</v>
      </c>
      <c r="E43" s="165">
        <v>2329</v>
      </c>
      <c r="F43" s="165">
        <v>3750</v>
      </c>
      <c r="G43" s="165">
        <v>3969</v>
      </c>
      <c r="H43" s="165">
        <v>3810</v>
      </c>
      <c r="I43" s="166">
        <f t="shared" si="26"/>
        <v>-4.0060468631897161E-2</v>
      </c>
      <c r="J43" s="166">
        <f t="shared" si="23"/>
        <v>1.0220450558235108E-2</v>
      </c>
      <c r="K43" s="165">
        <v>2576</v>
      </c>
      <c r="L43" s="165">
        <v>2145</v>
      </c>
      <c r="M43" s="165">
        <v>5958</v>
      </c>
      <c r="N43" s="165">
        <v>6490</v>
      </c>
      <c r="O43" s="165">
        <v>5721</v>
      </c>
      <c r="P43" s="165">
        <v>6584</v>
      </c>
      <c r="Q43" s="166">
        <f t="shared" si="27"/>
        <v>0.15084775388918015</v>
      </c>
      <c r="R43" s="166">
        <f t="shared" si="25"/>
        <v>3.9084041969042636E-3</v>
      </c>
      <c r="S43" s="165">
        <v>4192</v>
      </c>
      <c r="T43" s="165">
        <v>8287</v>
      </c>
      <c r="U43" s="165">
        <v>10240</v>
      </c>
      <c r="V43" s="165">
        <v>9690</v>
      </c>
      <c r="W43" s="165">
        <v>10394</v>
      </c>
      <c r="X43" s="166">
        <f t="shared" si="28"/>
        <v>7.2652218782249811E-2</v>
      </c>
      <c r="Y43" s="166">
        <f t="shared" si="29"/>
        <v>5.0521129779615304E-3</v>
      </c>
    </row>
    <row r="44" spans="1:25" x14ac:dyDescent="0.25">
      <c r="A44" s="57"/>
      <c r="B44" s="164" t="s">
        <v>125</v>
      </c>
      <c r="C44" s="165">
        <v>711</v>
      </c>
      <c r="D44" s="165">
        <v>36</v>
      </c>
      <c r="E44" s="165">
        <v>1420</v>
      </c>
      <c r="F44" s="165">
        <v>1583</v>
      </c>
      <c r="G44" s="165">
        <v>1742</v>
      </c>
      <c r="H44" s="165">
        <v>1469</v>
      </c>
      <c r="I44" s="166">
        <f t="shared" si="26"/>
        <v>-0.15671641791044777</v>
      </c>
      <c r="J44" s="166">
        <f t="shared" si="23"/>
        <v>3.940640910773589E-3</v>
      </c>
      <c r="K44" s="165">
        <v>4692</v>
      </c>
      <c r="L44" s="165">
        <v>868</v>
      </c>
      <c r="M44" s="165">
        <v>13564</v>
      </c>
      <c r="N44" s="165">
        <v>12240</v>
      </c>
      <c r="O44" s="165">
        <v>13313</v>
      </c>
      <c r="P44" s="165">
        <v>11788</v>
      </c>
      <c r="Q44" s="166">
        <f t="shared" si="27"/>
        <v>-0.11454968827461876</v>
      </c>
      <c r="R44" s="166">
        <f t="shared" si="25"/>
        <v>6.9976106733152278E-3</v>
      </c>
      <c r="S44" s="165">
        <v>5403</v>
      </c>
      <c r="T44" s="165">
        <v>14984</v>
      </c>
      <c r="U44" s="165">
        <v>13823</v>
      </c>
      <c r="V44" s="165">
        <v>15055</v>
      </c>
      <c r="W44" s="165">
        <v>13257</v>
      </c>
      <c r="X44" s="166">
        <f t="shared" si="28"/>
        <v>-0.11942876120890067</v>
      </c>
      <c r="Y44" s="166">
        <f t="shared" si="29"/>
        <v>6.4437042282890133E-3</v>
      </c>
    </row>
    <row r="45" spans="1:25" x14ac:dyDescent="0.25">
      <c r="A45" s="57"/>
      <c r="B45" s="164" t="s">
        <v>121</v>
      </c>
      <c r="C45" s="165">
        <v>694</v>
      </c>
      <c r="D45" s="165">
        <v>58</v>
      </c>
      <c r="E45" s="165">
        <v>770</v>
      </c>
      <c r="F45" s="165">
        <v>1002</v>
      </c>
      <c r="G45" s="165">
        <v>1153</v>
      </c>
      <c r="H45" s="165">
        <v>1280</v>
      </c>
      <c r="I45" s="166">
        <f t="shared" si="26"/>
        <v>0.11014744145706845</v>
      </c>
      <c r="J45" s="166">
        <f t="shared" si="23"/>
        <v>3.4336421822942094E-3</v>
      </c>
      <c r="K45" s="165">
        <v>6876</v>
      </c>
      <c r="L45" s="165">
        <v>1315</v>
      </c>
      <c r="M45" s="165">
        <v>13453</v>
      </c>
      <c r="N45" s="165">
        <v>15707</v>
      </c>
      <c r="O45" s="165">
        <v>16377</v>
      </c>
      <c r="P45" s="165">
        <v>13061</v>
      </c>
      <c r="Q45" s="166">
        <f t="shared" si="27"/>
        <v>-0.20247908652378332</v>
      </c>
      <c r="R45" s="166">
        <f t="shared" si="25"/>
        <v>7.7532908893934672E-3</v>
      </c>
      <c r="S45" s="165">
        <v>7570</v>
      </c>
      <c r="T45" s="165">
        <v>14223</v>
      </c>
      <c r="U45" s="165">
        <v>16709</v>
      </c>
      <c r="V45" s="165">
        <v>17530</v>
      </c>
      <c r="W45" s="165">
        <v>14341</v>
      </c>
      <c r="X45" s="166">
        <f t="shared" si="28"/>
        <v>-0.18191671420422129</v>
      </c>
      <c r="Y45" s="166">
        <f t="shared" si="29"/>
        <v>6.970593824990024E-3</v>
      </c>
    </row>
    <row r="46" spans="1:25" x14ac:dyDescent="0.25">
      <c r="A46" s="57"/>
      <c r="B46" s="164" t="s">
        <v>130</v>
      </c>
      <c r="C46" s="165">
        <v>1093</v>
      </c>
      <c r="D46" s="165">
        <v>6</v>
      </c>
      <c r="E46" s="165">
        <v>1389</v>
      </c>
      <c r="F46" s="165">
        <v>1539</v>
      </c>
      <c r="G46" s="165">
        <v>854</v>
      </c>
      <c r="H46" s="165">
        <v>1144</v>
      </c>
      <c r="I46" s="166">
        <f t="shared" si="26"/>
        <v>0.33957845433255263</v>
      </c>
      <c r="J46" s="166">
        <f t="shared" si="23"/>
        <v>3.0688177004254496E-3</v>
      </c>
      <c r="K46" s="165">
        <v>2222</v>
      </c>
      <c r="L46" s="165">
        <v>114</v>
      </c>
      <c r="M46" s="165">
        <v>3118</v>
      </c>
      <c r="N46" s="165">
        <v>4414</v>
      </c>
      <c r="O46" s="165">
        <v>4024</v>
      </c>
      <c r="P46" s="165">
        <v>4923</v>
      </c>
      <c r="Q46" s="166">
        <f t="shared" si="27"/>
        <v>0.22340954274353875</v>
      </c>
      <c r="R46" s="166">
        <f t="shared" si="25"/>
        <v>2.9223988246293575E-3</v>
      </c>
      <c r="S46" s="165">
        <v>3315</v>
      </c>
      <c r="T46" s="165">
        <v>4507</v>
      </c>
      <c r="U46" s="165">
        <v>5953</v>
      </c>
      <c r="V46" s="165">
        <v>4878</v>
      </c>
      <c r="W46" s="165">
        <v>6067</v>
      </c>
      <c r="X46" s="166">
        <f t="shared" si="28"/>
        <v>0.24374743747437466</v>
      </c>
      <c r="Y46" s="166">
        <f t="shared" si="29"/>
        <v>2.9489291357795463E-3</v>
      </c>
    </row>
    <row r="47" spans="1:25" x14ac:dyDescent="0.25">
      <c r="A47" s="57"/>
      <c r="B47" s="164" t="s">
        <v>133</v>
      </c>
      <c r="C47" s="165">
        <v>1061</v>
      </c>
      <c r="D47" s="165">
        <v>3</v>
      </c>
      <c r="E47" s="165">
        <v>747</v>
      </c>
      <c r="F47" s="165">
        <v>1027</v>
      </c>
      <c r="G47" s="165">
        <v>846</v>
      </c>
      <c r="H47" s="165">
        <v>724</v>
      </c>
      <c r="I47" s="166">
        <f t="shared" si="26"/>
        <v>-0.14420803782505909</v>
      </c>
      <c r="J47" s="166">
        <f t="shared" si="23"/>
        <v>1.9421538593601623E-3</v>
      </c>
      <c r="K47" s="165">
        <v>3677</v>
      </c>
      <c r="L47" s="165">
        <v>616</v>
      </c>
      <c r="M47" s="165">
        <v>3039</v>
      </c>
      <c r="N47" s="165">
        <v>4721</v>
      </c>
      <c r="O47" s="165">
        <v>4479</v>
      </c>
      <c r="P47" s="165">
        <v>3848</v>
      </c>
      <c r="Q47" s="166">
        <f t="shared" si="27"/>
        <v>-0.14087966063853541</v>
      </c>
      <c r="R47" s="166">
        <f t="shared" si="25"/>
        <v>2.2842556727958089E-3</v>
      </c>
      <c r="S47" s="165">
        <v>4738</v>
      </c>
      <c r="T47" s="165">
        <v>3786</v>
      </c>
      <c r="U47" s="165">
        <v>5748</v>
      </c>
      <c r="V47" s="165">
        <v>5325</v>
      </c>
      <c r="W47" s="165">
        <v>4572</v>
      </c>
      <c r="X47" s="166">
        <f t="shared" si="28"/>
        <v>-0.14140845070422536</v>
      </c>
      <c r="Y47" s="166">
        <f t="shared" si="29"/>
        <v>2.2222686680046294E-3</v>
      </c>
    </row>
    <row r="48" spans="1:25" x14ac:dyDescent="0.25">
      <c r="A48" s="57"/>
      <c r="B48" s="169" t="s">
        <v>147</v>
      </c>
      <c r="C48" s="170">
        <f t="shared" ref="C48" si="30">C40-SUM(C41:C47)</f>
        <v>10990</v>
      </c>
      <c r="D48" s="170">
        <f t="shared" ref="D48:H48" si="31">D40-SUM(D41:D47)</f>
        <v>2538</v>
      </c>
      <c r="E48" s="170">
        <f t="shared" si="31"/>
        <v>27772</v>
      </c>
      <c r="F48" s="170">
        <f t="shared" si="31"/>
        <v>33782</v>
      </c>
      <c r="G48" s="170">
        <f t="shared" si="31"/>
        <v>36898</v>
      </c>
      <c r="H48" s="170">
        <f t="shared" si="31"/>
        <v>37266</v>
      </c>
      <c r="I48" s="171">
        <f t="shared" si="26"/>
        <v>9.9734402948670198E-3</v>
      </c>
      <c r="J48" s="171">
        <f t="shared" si="23"/>
        <v>9.9967273097950005E-2</v>
      </c>
      <c r="K48" s="170">
        <f t="shared" ref="K48:P48" si="32">K40-SUM(K41:K47)</f>
        <v>26494</v>
      </c>
      <c r="L48" s="170">
        <f t="shared" si="32"/>
        <v>7355</v>
      </c>
      <c r="M48" s="170">
        <f t="shared" si="32"/>
        <v>66589</v>
      </c>
      <c r="N48" s="170">
        <f t="shared" si="32"/>
        <v>75028</v>
      </c>
      <c r="O48" s="170">
        <f t="shared" si="32"/>
        <v>78879</v>
      </c>
      <c r="P48" s="170">
        <f t="shared" si="32"/>
        <v>91696</v>
      </c>
      <c r="Q48" s="171">
        <f t="shared" si="27"/>
        <v>0.16248938247188738</v>
      </c>
      <c r="R48" s="171">
        <f t="shared" si="25"/>
        <v>5.4432720419096803E-2</v>
      </c>
      <c r="S48" s="170">
        <f>S40-SUM(S41:S47)</f>
        <v>37484</v>
      </c>
      <c r="T48" s="170">
        <f>T40-SUM(T41:T47)</f>
        <v>94361</v>
      </c>
      <c r="U48" s="170">
        <f>U40-SUM(U41:U47)</f>
        <v>108810</v>
      </c>
      <c r="V48" s="170">
        <f>V40-SUM(V41:V47)</f>
        <v>115777</v>
      </c>
      <c r="W48" s="170">
        <f>W40-SUM(W41:W47)</f>
        <v>128962</v>
      </c>
      <c r="X48" s="171">
        <f t="shared" si="28"/>
        <v>0.11388272282059475</v>
      </c>
      <c r="Y48" s="171">
        <f t="shared" si="29"/>
        <v>6.2683335949959104E-2</v>
      </c>
    </row>
    <row r="49" spans="1:25" x14ac:dyDescent="0.25">
      <c r="A49" s="57"/>
      <c r="B49" s="156" t="s">
        <v>48</v>
      </c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  <c r="N49" s="154"/>
      <c r="O49" s="154"/>
      <c r="P49" s="154"/>
      <c r="Q49" s="154"/>
      <c r="R49" s="154"/>
      <c r="S49" s="154"/>
      <c r="T49" s="154"/>
      <c r="U49" s="154"/>
      <c r="V49" s="154"/>
      <c r="W49" s="154"/>
      <c r="X49" s="154"/>
      <c r="Y49" s="154"/>
    </row>
    <row r="50" spans="1:25" x14ac:dyDescent="0.25">
      <c r="A50" s="57"/>
      <c r="B50" s="157" t="s">
        <v>70</v>
      </c>
      <c r="C50" s="177">
        <f t="shared" ref="C50:H50" si="33">C51+C54</f>
        <v>0</v>
      </c>
      <c r="D50" s="177">
        <f t="shared" si="33"/>
        <v>3463</v>
      </c>
      <c r="E50" s="177">
        <f t="shared" si="33"/>
        <v>0</v>
      </c>
      <c r="F50" s="177">
        <f t="shared" si="33"/>
        <v>0</v>
      </c>
      <c r="G50" s="177">
        <f t="shared" si="33"/>
        <v>0</v>
      </c>
      <c r="H50" s="177">
        <f t="shared" si="33"/>
        <v>0</v>
      </c>
      <c r="I50" s="178" t="str">
        <f>IFERROR(H50/G50-1,"-")</f>
        <v>-</v>
      </c>
      <c r="J50" s="178">
        <f t="shared" ref="J50:J62" si="34">H50/H$8</f>
        <v>0</v>
      </c>
      <c r="K50" s="177">
        <f t="shared" ref="K50:P50" si="35">K51+K54</f>
        <v>0</v>
      </c>
      <c r="L50" s="177">
        <f t="shared" si="35"/>
        <v>0</v>
      </c>
      <c r="M50" s="177">
        <f t="shared" si="35"/>
        <v>0</v>
      </c>
      <c r="N50" s="177">
        <f t="shared" si="35"/>
        <v>0</v>
      </c>
      <c r="O50" s="177">
        <f t="shared" si="35"/>
        <v>0</v>
      </c>
      <c r="P50" s="177">
        <f t="shared" si="35"/>
        <v>0</v>
      </c>
      <c r="Q50" s="178" t="str">
        <f>IFERROR(P50/O50-1,"-")</f>
        <v>-</v>
      </c>
      <c r="R50" s="178">
        <f t="shared" ref="R50:R62" si="36">P50/P$8</f>
        <v>0</v>
      </c>
      <c r="S50" s="177">
        <f>S51+S54</f>
        <v>8192</v>
      </c>
      <c r="T50" s="177">
        <f>T51+T54</f>
        <v>16823</v>
      </c>
      <c r="U50" s="177">
        <f>U51+U54</f>
        <v>27125</v>
      </c>
      <c r="V50" s="177">
        <f>V51+V54</f>
        <v>22938</v>
      </c>
      <c r="W50" s="177">
        <f>W51+W54</f>
        <v>21490</v>
      </c>
      <c r="X50" s="178">
        <f>IFERROR(W50/V50-1,"-")</f>
        <v>-6.3126689336472253E-2</v>
      </c>
      <c r="Y50" s="178">
        <f>W50/W$8</f>
        <v>1.0445440436443456E-2</v>
      </c>
    </row>
    <row r="51" spans="1:25" x14ac:dyDescent="0.25">
      <c r="A51" s="57"/>
      <c r="B51" s="160" t="s">
        <v>99</v>
      </c>
      <c r="C51" s="161">
        <v>0</v>
      </c>
      <c r="D51" s="161">
        <v>787</v>
      </c>
      <c r="E51" s="161">
        <v>0</v>
      </c>
      <c r="F51" s="161">
        <v>0</v>
      </c>
      <c r="G51" s="161">
        <v>0</v>
      </c>
      <c r="H51" s="161">
        <v>0</v>
      </c>
      <c r="I51" s="162" t="str">
        <f>IFERROR(H51/G51-1,"-")</f>
        <v>-</v>
      </c>
      <c r="J51" s="162">
        <f t="shared" si="34"/>
        <v>0</v>
      </c>
      <c r="K51" s="161">
        <v>0</v>
      </c>
      <c r="L51" s="161">
        <v>0</v>
      </c>
      <c r="M51" s="161">
        <v>0</v>
      </c>
      <c r="N51" s="161">
        <v>0</v>
      </c>
      <c r="O51" s="161">
        <v>0</v>
      </c>
      <c r="P51" s="161">
        <v>0</v>
      </c>
      <c r="Q51" s="162" t="str">
        <f>IFERROR(P51/O51-1,"-")</f>
        <v>-</v>
      </c>
      <c r="R51" s="162">
        <f t="shared" si="36"/>
        <v>0</v>
      </c>
      <c r="S51" s="161">
        <v>773</v>
      </c>
      <c r="T51" s="161">
        <v>2015</v>
      </c>
      <c r="U51" s="161">
        <v>11992</v>
      </c>
      <c r="V51" s="161">
        <v>6278</v>
      </c>
      <c r="W51" s="161">
        <v>4341</v>
      </c>
      <c r="X51" s="162">
        <f>IFERROR(W51/V51-1,"-")</f>
        <v>-0.30853775087607516</v>
      </c>
      <c r="Y51" s="162">
        <f>W51/W$8</f>
        <v>2.1099886893718492E-3</v>
      </c>
    </row>
    <row r="52" spans="1:25" x14ac:dyDescent="0.25">
      <c r="A52" s="57"/>
      <c r="B52" s="164" t="s">
        <v>105</v>
      </c>
      <c r="C52" s="165">
        <v>0</v>
      </c>
      <c r="D52" s="165">
        <v>309</v>
      </c>
      <c r="E52" s="165">
        <v>0</v>
      </c>
      <c r="F52" s="165">
        <v>0</v>
      </c>
      <c r="G52" s="165">
        <v>0</v>
      </c>
      <c r="H52" s="165">
        <v>0</v>
      </c>
      <c r="I52" s="166" t="str">
        <f>IFERROR(H52/G52-1,"-")</f>
        <v>-</v>
      </c>
      <c r="J52" s="166">
        <f t="shared" si="34"/>
        <v>0</v>
      </c>
      <c r="K52" s="165">
        <v>0</v>
      </c>
      <c r="L52" s="165">
        <v>0</v>
      </c>
      <c r="M52" s="165">
        <v>0</v>
      </c>
      <c r="N52" s="165">
        <v>0</v>
      </c>
      <c r="O52" s="165">
        <v>0</v>
      </c>
      <c r="P52" s="165">
        <v>0</v>
      </c>
      <c r="Q52" s="166" t="str">
        <f>IFERROR(P52/O52-1,"-")</f>
        <v>-</v>
      </c>
      <c r="R52" s="166">
        <f t="shared" si="36"/>
        <v>0</v>
      </c>
      <c r="S52" s="165">
        <v>367</v>
      </c>
      <c r="T52" s="165">
        <v>774</v>
      </c>
      <c r="U52" s="165">
        <v>8931</v>
      </c>
      <c r="V52" s="165">
        <v>4223</v>
      </c>
      <c r="W52" s="165">
        <v>2810</v>
      </c>
      <c r="X52" s="166">
        <f>IFERROR(W52/V52-1,"-")</f>
        <v>-0.33459625858394504</v>
      </c>
      <c r="Y52" s="166">
        <f>W52/W$8</f>
        <v>1.3658300431087069E-3</v>
      </c>
    </row>
    <row r="53" spans="1:25" x14ac:dyDescent="0.25">
      <c r="A53" s="57"/>
      <c r="B53" s="164" t="s">
        <v>102</v>
      </c>
      <c r="C53" s="165">
        <v>0</v>
      </c>
      <c r="D53" s="165">
        <v>478</v>
      </c>
      <c r="E53" s="165">
        <v>0</v>
      </c>
      <c r="F53" s="165">
        <v>0</v>
      </c>
      <c r="G53" s="165">
        <v>0</v>
      </c>
      <c r="H53" s="165">
        <v>0</v>
      </c>
      <c r="I53" s="166" t="str">
        <f>IFERROR(H53/G53-1,"-")</f>
        <v>-</v>
      </c>
      <c r="J53" s="166">
        <f t="shared" si="34"/>
        <v>0</v>
      </c>
      <c r="K53" s="165">
        <v>0</v>
      </c>
      <c r="L53" s="165">
        <v>0</v>
      </c>
      <c r="M53" s="165">
        <v>0</v>
      </c>
      <c r="N53" s="165">
        <v>0</v>
      </c>
      <c r="O53" s="165">
        <v>0</v>
      </c>
      <c r="P53" s="165">
        <v>0</v>
      </c>
      <c r="Q53" s="166" t="str">
        <f>IFERROR(P53/O53-1,"-")</f>
        <v>-</v>
      </c>
      <c r="R53" s="166">
        <f t="shared" si="36"/>
        <v>0</v>
      </c>
      <c r="S53" s="165">
        <v>406</v>
      </c>
      <c r="T53" s="165">
        <v>1241</v>
      </c>
      <c r="U53" s="165">
        <v>3061</v>
      </c>
      <c r="V53" s="165">
        <v>2055</v>
      </c>
      <c r="W53" s="165">
        <v>1531</v>
      </c>
      <c r="X53" s="166">
        <f>IFERROR(W53/V53-1,"-")</f>
        <v>-0.25498783454987839</v>
      </c>
      <c r="Y53" s="166">
        <f>W53/W$8</f>
        <v>7.4415864626314247E-4</v>
      </c>
    </row>
    <row r="54" spans="1:25" x14ac:dyDescent="0.25">
      <c r="A54" s="57"/>
      <c r="B54" s="160" t="s">
        <v>109</v>
      </c>
      <c r="C54" s="161">
        <v>0</v>
      </c>
      <c r="D54" s="161">
        <v>2676</v>
      </c>
      <c r="E54" s="161">
        <v>0</v>
      </c>
      <c r="F54" s="161">
        <v>0</v>
      </c>
      <c r="G54" s="161">
        <v>0</v>
      </c>
      <c r="H54" s="161">
        <v>0</v>
      </c>
      <c r="I54" s="162" t="str">
        <f>IFERROR(H54/G54-1,"-")</f>
        <v>-</v>
      </c>
      <c r="J54" s="162">
        <f t="shared" si="34"/>
        <v>0</v>
      </c>
      <c r="K54" s="161">
        <v>0</v>
      </c>
      <c r="L54" s="161">
        <v>0</v>
      </c>
      <c r="M54" s="161">
        <v>0</v>
      </c>
      <c r="N54" s="161">
        <v>0</v>
      </c>
      <c r="O54" s="161">
        <v>0</v>
      </c>
      <c r="P54" s="161">
        <v>0</v>
      </c>
      <c r="Q54" s="162" t="str">
        <f>IFERROR(P54/O54-1,"-")</f>
        <v>-</v>
      </c>
      <c r="R54" s="162">
        <f t="shared" si="36"/>
        <v>0</v>
      </c>
      <c r="S54" s="161">
        <v>7419</v>
      </c>
      <c r="T54" s="161">
        <v>14808</v>
      </c>
      <c r="U54" s="161">
        <v>15133</v>
      </c>
      <c r="V54" s="161">
        <v>16660</v>
      </c>
      <c r="W54" s="161">
        <v>17149</v>
      </c>
      <c r="X54" s="162">
        <f>IFERROR(W54/V54-1,"-")</f>
        <v>2.9351740696278439E-2</v>
      </c>
      <c r="Y54" s="162">
        <f>W54/W$8</f>
        <v>8.3354517470716066E-3</v>
      </c>
    </row>
    <row r="55" spans="1:25" s="57" customFormat="1" x14ac:dyDescent="0.25">
      <c r="B55" s="164" t="s">
        <v>112</v>
      </c>
      <c r="C55" s="165">
        <v>0</v>
      </c>
      <c r="D55" s="165">
        <v>55</v>
      </c>
      <c r="E55" s="165">
        <v>0</v>
      </c>
      <c r="F55" s="165">
        <v>0</v>
      </c>
      <c r="G55" s="165">
        <v>0</v>
      </c>
      <c r="H55" s="165">
        <v>0</v>
      </c>
      <c r="I55" s="166" t="str">
        <f t="shared" ref="I55:I62" si="37">IFERROR(H55/G55-1,"-")</f>
        <v>-</v>
      </c>
      <c r="J55" s="166">
        <f t="shared" si="34"/>
        <v>0</v>
      </c>
      <c r="K55" s="165">
        <v>0</v>
      </c>
      <c r="L55" s="165">
        <v>0</v>
      </c>
      <c r="M55" s="165">
        <v>0</v>
      </c>
      <c r="N55" s="165">
        <v>0</v>
      </c>
      <c r="O55" s="165">
        <v>0</v>
      </c>
      <c r="P55" s="165">
        <v>0</v>
      </c>
      <c r="Q55" s="166" t="str">
        <f t="shared" ref="Q55:Q62" si="38">IFERROR(P55/O55-1,"-")</f>
        <v>-</v>
      </c>
      <c r="R55" s="166">
        <f t="shared" si="36"/>
        <v>0</v>
      </c>
      <c r="S55" s="165">
        <v>2301</v>
      </c>
      <c r="T55" s="165">
        <v>5195</v>
      </c>
      <c r="U55" s="165">
        <v>4693</v>
      </c>
      <c r="V55" s="165">
        <v>5678</v>
      </c>
      <c r="W55" s="165">
        <v>6076</v>
      </c>
      <c r="X55" s="166">
        <f t="shared" ref="X55:X62" si="39">IFERROR(W55/V55-1,"-")</f>
        <v>7.0095103909827428E-2</v>
      </c>
      <c r="Y55" s="166">
        <f t="shared" ref="Y55:Y62" si="40">W55/W$8</f>
        <v>2.9533036804016027E-3</v>
      </c>
    </row>
    <row r="56" spans="1:25" s="57" customFormat="1" x14ac:dyDescent="0.25">
      <c r="B56" s="164" t="s">
        <v>115</v>
      </c>
      <c r="C56" s="165">
        <v>0</v>
      </c>
      <c r="D56" s="165">
        <v>1007</v>
      </c>
      <c r="E56" s="165">
        <v>0</v>
      </c>
      <c r="F56" s="165">
        <v>0</v>
      </c>
      <c r="G56" s="165">
        <v>0</v>
      </c>
      <c r="H56" s="165">
        <v>0</v>
      </c>
      <c r="I56" s="166" t="str">
        <f t="shared" si="37"/>
        <v>-</v>
      </c>
      <c r="J56" s="166">
        <f t="shared" si="34"/>
        <v>0</v>
      </c>
      <c r="K56" s="165">
        <v>0</v>
      </c>
      <c r="L56" s="165">
        <v>0</v>
      </c>
      <c r="M56" s="165">
        <v>0</v>
      </c>
      <c r="N56" s="165">
        <v>0</v>
      </c>
      <c r="O56" s="165">
        <v>0</v>
      </c>
      <c r="P56" s="165">
        <v>0</v>
      </c>
      <c r="Q56" s="166" t="str">
        <f t="shared" si="38"/>
        <v>-</v>
      </c>
      <c r="R56" s="166">
        <f t="shared" si="36"/>
        <v>0</v>
      </c>
      <c r="S56" s="165">
        <v>2164</v>
      </c>
      <c r="T56" s="165">
        <v>3627</v>
      </c>
      <c r="U56" s="165">
        <v>2689</v>
      </c>
      <c r="V56" s="165">
        <v>3388</v>
      </c>
      <c r="W56" s="165">
        <v>3491</v>
      </c>
      <c r="X56" s="166">
        <f t="shared" si="39"/>
        <v>3.0401416765053035E-2</v>
      </c>
      <c r="Y56" s="166">
        <f t="shared" si="40"/>
        <v>1.6968372528443046E-3</v>
      </c>
    </row>
    <row r="57" spans="1:25" x14ac:dyDescent="0.25">
      <c r="A57" s="57"/>
      <c r="B57" s="164" t="s">
        <v>118</v>
      </c>
      <c r="C57" s="165">
        <v>0</v>
      </c>
      <c r="D57" s="165">
        <v>446</v>
      </c>
      <c r="E57" s="165">
        <v>0</v>
      </c>
      <c r="F57" s="165">
        <v>0</v>
      </c>
      <c r="G57" s="165">
        <v>0</v>
      </c>
      <c r="H57" s="165">
        <v>0</v>
      </c>
      <c r="I57" s="166" t="str">
        <f t="shared" si="37"/>
        <v>-</v>
      </c>
      <c r="J57" s="166">
        <f t="shared" si="34"/>
        <v>0</v>
      </c>
      <c r="K57" s="165">
        <v>0</v>
      </c>
      <c r="L57" s="165">
        <v>0</v>
      </c>
      <c r="M57" s="165">
        <v>0</v>
      </c>
      <c r="N57" s="165">
        <v>0</v>
      </c>
      <c r="O57" s="165">
        <v>0</v>
      </c>
      <c r="P57" s="165">
        <v>0</v>
      </c>
      <c r="Q57" s="166" t="str">
        <f t="shared" si="38"/>
        <v>-</v>
      </c>
      <c r="R57" s="166">
        <f t="shared" si="36"/>
        <v>0</v>
      </c>
      <c r="S57" s="165">
        <v>393</v>
      </c>
      <c r="T57" s="165">
        <v>1130</v>
      </c>
      <c r="U57" s="165">
        <v>1547</v>
      </c>
      <c r="V57" s="165">
        <v>1228</v>
      </c>
      <c r="W57" s="165">
        <v>1091</v>
      </c>
      <c r="X57" s="166">
        <f t="shared" si="39"/>
        <v>-0.1115635179153095</v>
      </c>
      <c r="Y57" s="166">
        <f t="shared" si="40"/>
        <v>5.3029202029594279E-4</v>
      </c>
    </row>
    <row r="58" spans="1:25" x14ac:dyDescent="0.25">
      <c r="A58" s="57"/>
      <c r="B58" s="164" t="s">
        <v>125</v>
      </c>
      <c r="C58" s="165">
        <v>0</v>
      </c>
      <c r="D58" s="165">
        <v>55</v>
      </c>
      <c r="E58" s="165">
        <v>0</v>
      </c>
      <c r="F58" s="165">
        <v>0</v>
      </c>
      <c r="G58" s="165">
        <v>0</v>
      </c>
      <c r="H58" s="165">
        <v>0</v>
      </c>
      <c r="I58" s="166" t="str">
        <f t="shared" si="37"/>
        <v>-</v>
      </c>
      <c r="J58" s="166">
        <f t="shared" si="34"/>
        <v>0</v>
      </c>
      <c r="K58" s="165">
        <v>0</v>
      </c>
      <c r="L58" s="165">
        <v>0</v>
      </c>
      <c r="M58" s="165">
        <v>0</v>
      </c>
      <c r="N58" s="165">
        <v>0</v>
      </c>
      <c r="O58" s="165">
        <v>0</v>
      </c>
      <c r="P58" s="165">
        <v>0</v>
      </c>
      <c r="Q58" s="166" t="str">
        <f t="shared" si="38"/>
        <v>-</v>
      </c>
      <c r="R58" s="166">
        <f t="shared" si="36"/>
        <v>0</v>
      </c>
      <c r="S58" s="165">
        <v>205</v>
      </c>
      <c r="T58" s="165">
        <v>420</v>
      </c>
      <c r="U58" s="165">
        <v>349</v>
      </c>
      <c r="V58" s="165">
        <v>535</v>
      </c>
      <c r="W58" s="165">
        <v>519</v>
      </c>
      <c r="X58" s="166">
        <f t="shared" si="39"/>
        <v>-2.9906542056074792E-2</v>
      </c>
      <c r="Y58" s="166">
        <f t="shared" si="40"/>
        <v>2.5226540653858323E-4</v>
      </c>
    </row>
    <row r="59" spans="1:25" x14ac:dyDescent="0.25">
      <c r="A59" s="57"/>
      <c r="B59" s="164" t="s">
        <v>121</v>
      </c>
      <c r="C59" s="165">
        <v>0</v>
      </c>
      <c r="D59" s="165">
        <v>80</v>
      </c>
      <c r="E59" s="165">
        <v>0</v>
      </c>
      <c r="F59" s="165">
        <v>0</v>
      </c>
      <c r="G59" s="165">
        <v>0</v>
      </c>
      <c r="H59" s="165">
        <v>0</v>
      </c>
      <c r="I59" s="166" t="str">
        <f t="shared" si="37"/>
        <v>-</v>
      </c>
      <c r="J59" s="166">
        <f t="shared" si="34"/>
        <v>0</v>
      </c>
      <c r="K59" s="165">
        <v>0</v>
      </c>
      <c r="L59" s="165">
        <v>0</v>
      </c>
      <c r="M59" s="165">
        <v>0</v>
      </c>
      <c r="N59" s="165">
        <v>0</v>
      </c>
      <c r="O59" s="165">
        <v>0</v>
      </c>
      <c r="P59" s="165">
        <v>0</v>
      </c>
      <c r="Q59" s="166" t="str">
        <f t="shared" si="38"/>
        <v>-</v>
      </c>
      <c r="R59" s="166">
        <f t="shared" si="36"/>
        <v>0</v>
      </c>
      <c r="S59" s="165">
        <v>135</v>
      </c>
      <c r="T59" s="165">
        <v>385</v>
      </c>
      <c r="U59" s="165">
        <v>348</v>
      </c>
      <c r="V59" s="165">
        <v>390</v>
      </c>
      <c r="W59" s="165">
        <v>475</v>
      </c>
      <c r="X59" s="166">
        <f t="shared" si="39"/>
        <v>0.21794871794871784</v>
      </c>
      <c r="Y59" s="166">
        <f t="shared" si="40"/>
        <v>2.3087874394186328E-4</v>
      </c>
    </row>
    <row r="60" spans="1:25" x14ac:dyDescent="0.25">
      <c r="A60" s="57"/>
      <c r="B60" s="164" t="s">
        <v>130</v>
      </c>
      <c r="C60" s="165">
        <v>0</v>
      </c>
      <c r="D60" s="165">
        <v>22</v>
      </c>
      <c r="E60" s="165">
        <v>0</v>
      </c>
      <c r="F60" s="165">
        <v>0</v>
      </c>
      <c r="G60" s="165">
        <v>0</v>
      </c>
      <c r="H60" s="165">
        <v>0</v>
      </c>
      <c r="I60" s="166" t="str">
        <f t="shared" si="37"/>
        <v>-</v>
      </c>
      <c r="J60" s="166">
        <f t="shared" si="34"/>
        <v>0</v>
      </c>
      <c r="K60" s="165">
        <v>0</v>
      </c>
      <c r="L60" s="165">
        <v>0</v>
      </c>
      <c r="M60" s="165">
        <v>0</v>
      </c>
      <c r="N60" s="165">
        <v>0</v>
      </c>
      <c r="O60" s="165">
        <v>0</v>
      </c>
      <c r="P60" s="165">
        <v>0</v>
      </c>
      <c r="Q60" s="166" t="str">
        <f t="shared" si="38"/>
        <v>-</v>
      </c>
      <c r="R60" s="166">
        <f t="shared" si="36"/>
        <v>0</v>
      </c>
      <c r="S60" s="165">
        <v>76</v>
      </c>
      <c r="T60" s="165">
        <v>44</v>
      </c>
      <c r="U60" s="165">
        <v>151</v>
      </c>
      <c r="V60" s="165">
        <v>78</v>
      </c>
      <c r="W60" s="165">
        <v>164</v>
      </c>
      <c r="X60" s="166">
        <f t="shared" si="39"/>
        <v>1.1025641025641026</v>
      </c>
      <c r="Y60" s="166">
        <f t="shared" si="40"/>
        <v>7.9713924224138059E-5</v>
      </c>
    </row>
    <row r="61" spans="1:25" x14ac:dyDescent="0.25">
      <c r="A61" s="57"/>
      <c r="B61" s="164" t="s">
        <v>133</v>
      </c>
      <c r="C61" s="165">
        <v>0</v>
      </c>
      <c r="D61" s="165">
        <v>14</v>
      </c>
      <c r="E61" s="165">
        <v>0</v>
      </c>
      <c r="F61" s="165">
        <v>0</v>
      </c>
      <c r="G61" s="165">
        <v>0</v>
      </c>
      <c r="H61" s="165">
        <v>0</v>
      </c>
      <c r="I61" s="166" t="str">
        <f t="shared" si="37"/>
        <v>-</v>
      </c>
      <c r="J61" s="166">
        <f t="shared" si="34"/>
        <v>0</v>
      </c>
      <c r="K61" s="165">
        <v>0</v>
      </c>
      <c r="L61" s="165">
        <v>0</v>
      </c>
      <c r="M61" s="165">
        <v>0</v>
      </c>
      <c r="N61" s="165">
        <v>0</v>
      </c>
      <c r="O61" s="165">
        <v>0</v>
      </c>
      <c r="P61" s="165">
        <v>0</v>
      </c>
      <c r="Q61" s="166" t="str">
        <f t="shared" si="38"/>
        <v>-</v>
      </c>
      <c r="R61" s="166">
        <f t="shared" si="36"/>
        <v>0</v>
      </c>
      <c r="S61" s="165">
        <v>105</v>
      </c>
      <c r="T61" s="165">
        <v>89</v>
      </c>
      <c r="U61" s="165">
        <v>138</v>
      </c>
      <c r="V61" s="165">
        <v>84</v>
      </c>
      <c r="W61" s="165">
        <v>405</v>
      </c>
      <c r="X61" s="166">
        <f t="shared" si="39"/>
        <v>3.8214285714285712</v>
      </c>
      <c r="Y61" s="166">
        <f t="shared" si="40"/>
        <v>1.9685450799253605E-4</v>
      </c>
    </row>
    <row r="62" spans="1:25" x14ac:dyDescent="0.25">
      <c r="A62" s="57"/>
      <c r="B62" s="169" t="s">
        <v>147</v>
      </c>
      <c r="C62" s="170">
        <f t="shared" ref="C62" si="41">C54-SUM(C55:C61)</f>
        <v>0</v>
      </c>
      <c r="D62" s="170">
        <f t="shared" ref="D62:H62" si="42">D54-SUM(D55:D61)</f>
        <v>997</v>
      </c>
      <c r="E62" s="170">
        <f t="shared" si="42"/>
        <v>0</v>
      </c>
      <c r="F62" s="170">
        <f t="shared" si="42"/>
        <v>0</v>
      </c>
      <c r="G62" s="170">
        <f t="shared" si="42"/>
        <v>0</v>
      </c>
      <c r="H62" s="170">
        <f t="shared" si="42"/>
        <v>0</v>
      </c>
      <c r="I62" s="171" t="str">
        <f t="shared" si="37"/>
        <v>-</v>
      </c>
      <c r="J62" s="171">
        <f t="shared" si="34"/>
        <v>0</v>
      </c>
      <c r="K62" s="170">
        <f t="shared" ref="K62:P62" si="43">K54-SUM(K55:K61)</f>
        <v>0</v>
      </c>
      <c r="L62" s="170">
        <f t="shared" si="43"/>
        <v>0</v>
      </c>
      <c r="M62" s="170">
        <f t="shared" si="43"/>
        <v>0</v>
      </c>
      <c r="N62" s="170">
        <f t="shared" si="43"/>
        <v>0</v>
      </c>
      <c r="O62" s="170">
        <f t="shared" si="43"/>
        <v>0</v>
      </c>
      <c r="P62" s="170">
        <f t="shared" si="43"/>
        <v>0</v>
      </c>
      <c r="Q62" s="171" t="str">
        <f t="shared" si="38"/>
        <v>-</v>
      </c>
      <c r="R62" s="171">
        <f t="shared" si="36"/>
        <v>0</v>
      </c>
      <c r="S62" s="170">
        <f>S54-SUM(S55:S61)</f>
        <v>2040</v>
      </c>
      <c r="T62" s="170">
        <f>T54-SUM(T55:T61)</f>
        <v>3918</v>
      </c>
      <c r="U62" s="170">
        <f>U54-SUM(U55:U61)</f>
        <v>5218</v>
      </c>
      <c r="V62" s="170">
        <f>V54-SUM(V55:V61)</f>
        <v>5279</v>
      </c>
      <c r="W62" s="170">
        <f>W54-SUM(W55:W61)</f>
        <v>4928</v>
      </c>
      <c r="X62" s="171">
        <f t="shared" si="39"/>
        <v>-6.6489865504830492E-2</v>
      </c>
      <c r="Y62" s="171">
        <f t="shared" si="40"/>
        <v>2.3953062108326363E-3</v>
      </c>
    </row>
    <row r="63" spans="1:25" x14ac:dyDescent="0.25">
      <c r="A63" s="57"/>
      <c r="B63" s="156" t="s">
        <v>49</v>
      </c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  <c r="N63" s="154"/>
      <c r="O63" s="154"/>
      <c r="P63" s="154"/>
      <c r="Q63" s="154"/>
      <c r="R63" s="154"/>
      <c r="S63" s="154"/>
      <c r="T63" s="154"/>
      <c r="U63" s="154"/>
      <c r="V63" s="154"/>
      <c r="W63" s="154"/>
      <c r="X63" s="154"/>
      <c r="Y63" s="154"/>
    </row>
    <row r="64" spans="1:25" x14ac:dyDescent="0.25">
      <c r="A64" s="57"/>
      <c r="B64" s="157" t="s">
        <v>70</v>
      </c>
      <c r="C64" s="177">
        <f t="shared" ref="C64:H64" si="44">C65+C68</f>
        <v>1940</v>
      </c>
      <c r="D64" s="177">
        <f t="shared" si="44"/>
        <v>0</v>
      </c>
      <c r="E64" s="177">
        <f t="shared" si="44"/>
        <v>0</v>
      </c>
      <c r="F64" s="177">
        <f t="shared" si="44"/>
        <v>0</v>
      </c>
      <c r="G64" s="177">
        <f t="shared" si="44"/>
        <v>0</v>
      </c>
      <c r="H64" s="177">
        <f t="shared" si="44"/>
        <v>0</v>
      </c>
      <c r="I64" s="178" t="str">
        <f>IFERROR(H64/G64-1,"-")</f>
        <v>-</v>
      </c>
      <c r="J64" s="178">
        <f t="shared" ref="J64:J76" si="45">H64/H$8</f>
        <v>0</v>
      </c>
      <c r="K64" s="177">
        <f t="shared" ref="K64:P64" si="46">K65+K68</f>
        <v>21395</v>
      </c>
      <c r="L64" s="177">
        <f t="shared" si="46"/>
        <v>16603</v>
      </c>
      <c r="M64" s="177">
        <f t="shared" si="46"/>
        <v>0</v>
      </c>
      <c r="N64" s="177">
        <f t="shared" si="46"/>
        <v>21288</v>
      </c>
      <c r="O64" s="177">
        <f t="shared" si="46"/>
        <v>0</v>
      </c>
      <c r="P64" s="177">
        <f t="shared" si="46"/>
        <v>0</v>
      </c>
      <c r="Q64" s="178" t="str">
        <f>IFERROR(P64/O64-1,"-")</f>
        <v>-</v>
      </c>
      <c r="R64" s="178">
        <f t="shared" ref="R64:R76" si="47">P64/P$8</f>
        <v>0</v>
      </c>
      <c r="S64" s="177">
        <f>S65+S68</f>
        <v>23335</v>
      </c>
      <c r="T64" s="177">
        <f>T65+T68</f>
        <v>62155</v>
      </c>
      <c r="U64" s="177">
        <f>U65+U68</f>
        <v>82441</v>
      </c>
      <c r="V64" s="177">
        <f>V65+V68</f>
        <v>96861</v>
      </c>
      <c r="W64" s="177">
        <f>W65+W68</f>
        <v>75400</v>
      </c>
      <c r="X64" s="178">
        <f>IFERROR(W64/V64-1,"-")</f>
        <v>-0.22156492293079777</v>
      </c>
      <c r="Y64" s="178">
        <f>W64/W$8</f>
        <v>3.6648962722561032E-2</v>
      </c>
    </row>
    <row r="65" spans="1:25" x14ac:dyDescent="0.25">
      <c r="A65" s="57"/>
      <c r="B65" s="160" t="s">
        <v>99</v>
      </c>
      <c r="C65" s="161">
        <v>97</v>
      </c>
      <c r="D65" s="161">
        <v>0</v>
      </c>
      <c r="E65" s="161">
        <v>0</v>
      </c>
      <c r="F65" s="161">
        <v>0</v>
      </c>
      <c r="G65" s="161">
        <v>0</v>
      </c>
      <c r="H65" s="161">
        <v>0</v>
      </c>
      <c r="I65" s="162" t="str">
        <f>IFERROR(H65/G65-1,"-")</f>
        <v>-</v>
      </c>
      <c r="J65" s="162">
        <f t="shared" si="45"/>
        <v>0</v>
      </c>
      <c r="K65" s="161">
        <v>5384</v>
      </c>
      <c r="L65" s="161">
        <v>8791</v>
      </c>
      <c r="M65" s="161">
        <v>0</v>
      </c>
      <c r="N65" s="161">
        <v>9045</v>
      </c>
      <c r="O65" s="161">
        <v>0</v>
      </c>
      <c r="P65" s="161">
        <v>0</v>
      </c>
      <c r="Q65" s="162" t="str">
        <f>IFERROR(P65/O65-1,"-")</f>
        <v>-</v>
      </c>
      <c r="R65" s="162">
        <f t="shared" si="47"/>
        <v>0</v>
      </c>
      <c r="S65" s="161">
        <v>5481</v>
      </c>
      <c r="T65" s="161">
        <v>14618</v>
      </c>
      <c r="U65" s="161">
        <v>14854</v>
      </c>
      <c r="V65" s="161">
        <v>27285</v>
      </c>
      <c r="W65" s="161">
        <v>18281</v>
      </c>
      <c r="X65" s="162">
        <f>IFERROR(W65/V65-1,"-")</f>
        <v>-0.32999816749129562</v>
      </c>
      <c r="Y65" s="162">
        <f>W65/W$8</f>
        <v>8.8856722484235845E-3</v>
      </c>
    </row>
    <row r="66" spans="1:25" x14ac:dyDescent="0.25">
      <c r="A66" s="57"/>
      <c r="B66" s="164" t="s">
        <v>105</v>
      </c>
      <c r="C66" s="165">
        <v>57</v>
      </c>
      <c r="D66" s="165">
        <v>0</v>
      </c>
      <c r="E66" s="165">
        <v>0</v>
      </c>
      <c r="F66" s="165">
        <v>0</v>
      </c>
      <c r="G66" s="165">
        <v>0</v>
      </c>
      <c r="H66" s="165">
        <v>0</v>
      </c>
      <c r="I66" s="166" t="str">
        <f>IFERROR(H66/G66-1,"-")</f>
        <v>-</v>
      </c>
      <c r="J66" s="166">
        <f t="shared" si="45"/>
        <v>0</v>
      </c>
      <c r="K66" s="165">
        <v>2142</v>
      </c>
      <c r="L66" s="165">
        <v>8533</v>
      </c>
      <c r="M66" s="165">
        <v>0</v>
      </c>
      <c r="N66" s="165">
        <v>6774</v>
      </c>
      <c r="O66" s="165">
        <v>0</v>
      </c>
      <c r="P66" s="165">
        <v>0</v>
      </c>
      <c r="Q66" s="166" t="str">
        <f>IFERROR(P66/O66-1,"-")</f>
        <v>-</v>
      </c>
      <c r="R66" s="166">
        <f t="shared" si="47"/>
        <v>0</v>
      </c>
      <c r="S66" s="165">
        <v>2199</v>
      </c>
      <c r="T66" s="165">
        <v>10990</v>
      </c>
      <c r="U66" s="165">
        <v>11125</v>
      </c>
      <c r="V66" s="165">
        <v>16363</v>
      </c>
      <c r="W66" s="165">
        <v>6550</v>
      </c>
      <c r="X66" s="166">
        <f>IFERROR(W66/V66-1,"-")</f>
        <v>-0.59970665525881561</v>
      </c>
      <c r="Y66" s="166">
        <f>W66/W$8</f>
        <v>3.1836963638299039E-3</v>
      </c>
    </row>
    <row r="67" spans="1:25" x14ac:dyDescent="0.25">
      <c r="A67" s="57"/>
      <c r="B67" s="164" t="s">
        <v>102</v>
      </c>
      <c r="C67" s="165">
        <v>40</v>
      </c>
      <c r="D67" s="165">
        <v>0</v>
      </c>
      <c r="E67" s="165">
        <v>0</v>
      </c>
      <c r="F67" s="165">
        <v>0</v>
      </c>
      <c r="G67" s="165">
        <v>0</v>
      </c>
      <c r="H67" s="165">
        <v>0</v>
      </c>
      <c r="I67" s="166" t="str">
        <f>IFERROR(H67/G67-1,"-")</f>
        <v>-</v>
      </c>
      <c r="J67" s="166">
        <f t="shared" si="45"/>
        <v>0</v>
      </c>
      <c r="K67" s="165">
        <v>3242</v>
      </c>
      <c r="L67" s="165">
        <v>258</v>
      </c>
      <c r="M67" s="165">
        <v>0</v>
      </c>
      <c r="N67" s="165">
        <v>2271</v>
      </c>
      <c r="O67" s="165">
        <v>0</v>
      </c>
      <c r="P67" s="165">
        <v>0</v>
      </c>
      <c r="Q67" s="166" t="str">
        <f>IFERROR(P67/O67-1,"-")</f>
        <v>-</v>
      </c>
      <c r="R67" s="166">
        <f t="shared" si="47"/>
        <v>0</v>
      </c>
      <c r="S67" s="165">
        <v>3282</v>
      </c>
      <c r="T67" s="165">
        <v>3628</v>
      </c>
      <c r="U67" s="165">
        <v>3729</v>
      </c>
      <c r="V67" s="165">
        <v>10922</v>
      </c>
      <c r="W67" s="165">
        <v>11731</v>
      </c>
      <c r="X67" s="166">
        <f>IFERROR(W67/V67-1,"-")</f>
        <v>7.4070683025087014E-2</v>
      </c>
      <c r="Y67" s="166">
        <f>W67/W$8</f>
        <v>5.7019758845936802E-3</v>
      </c>
    </row>
    <row r="68" spans="1:25" x14ac:dyDescent="0.25">
      <c r="A68" s="57"/>
      <c r="B68" s="160" t="s">
        <v>109</v>
      </c>
      <c r="C68" s="161">
        <v>1843</v>
      </c>
      <c r="D68" s="161">
        <v>0</v>
      </c>
      <c r="E68" s="161">
        <v>0</v>
      </c>
      <c r="F68" s="161">
        <v>0</v>
      </c>
      <c r="G68" s="161">
        <v>0</v>
      </c>
      <c r="H68" s="161">
        <v>0</v>
      </c>
      <c r="I68" s="162" t="str">
        <f>IFERROR(H68/G68-1,"-")</f>
        <v>-</v>
      </c>
      <c r="J68" s="162">
        <f t="shared" si="45"/>
        <v>0</v>
      </c>
      <c r="K68" s="161">
        <v>16011</v>
      </c>
      <c r="L68" s="161">
        <v>7812</v>
      </c>
      <c r="M68" s="161">
        <v>0</v>
      </c>
      <c r="N68" s="161">
        <v>12243</v>
      </c>
      <c r="O68" s="161">
        <v>0</v>
      </c>
      <c r="P68" s="161">
        <v>0</v>
      </c>
      <c r="Q68" s="162" t="str">
        <f>IFERROR(P68/O68-1,"-")</f>
        <v>-</v>
      </c>
      <c r="R68" s="162">
        <f t="shared" si="47"/>
        <v>0</v>
      </c>
      <c r="S68" s="161">
        <v>17854</v>
      </c>
      <c r="T68" s="161">
        <v>47537</v>
      </c>
      <c r="U68" s="161">
        <v>67587</v>
      </c>
      <c r="V68" s="161">
        <v>69576</v>
      </c>
      <c r="W68" s="161">
        <v>57119</v>
      </c>
      <c r="X68" s="162">
        <f>IFERROR(W68/V68-1,"-")</f>
        <v>-0.17904162354834996</v>
      </c>
      <c r="Y68" s="162">
        <f>W68/W$8</f>
        <v>2.7763290474137448E-2</v>
      </c>
    </row>
    <row r="69" spans="1:25" s="57" customFormat="1" x14ac:dyDescent="0.25">
      <c r="B69" s="164" t="s">
        <v>112</v>
      </c>
      <c r="C69" s="165">
        <v>217</v>
      </c>
      <c r="D69" s="165">
        <v>0</v>
      </c>
      <c r="E69" s="165">
        <v>0</v>
      </c>
      <c r="F69" s="165">
        <v>0</v>
      </c>
      <c r="G69" s="165">
        <v>0</v>
      </c>
      <c r="H69" s="165">
        <v>0</v>
      </c>
      <c r="I69" s="166" t="str">
        <f t="shared" ref="I69:I76" si="48">IFERROR(H69/G69-1,"-")</f>
        <v>-</v>
      </c>
      <c r="J69" s="166">
        <f t="shared" si="45"/>
        <v>0</v>
      </c>
      <c r="K69" s="165">
        <v>6895</v>
      </c>
      <c r="L69" s="165">
        <v>869</v>
      </c>
      <c r="M69" s="165">
        <v>0</v>
      </c>
      <c r="N69" s="165">
        <v>3814</v>
      </c>
      <c r="O69" s="165">
        <v>0</v>
      </c>
      <c r="P69" s="165">
        <v>0</v>
      </c>
      <c r="Q69" s="166" t="str">
        <f t="shared" ref="Q69:Q76" si="49">IFERROR(P69/O69-1,"-")</f>
        <v>-</v>
      </c>
      <c r="R69" s="166">
        <f t="shared" si="47"/>
        <v>0</v>
      </c>
      <c r="S69" s="165">
        <v>7112</v>
      </c>
      <c r="T69" s="165">
        <v>18994</v>
      </c>
      <c r="U69" s="165">
        <v>23900</v>
      </c>
      <c r="V69" s="165">
        <v>21936</v>
      </c>
      <c r="W69" s="165">
        <v>24121</v>
      </c>
      <c r="X69" s="166">
        <f t="shared" ref="X69:X76" si="50">IFERROR(W69/V69-1,"-")</f>
        <v>9.96079504011671E-2</v>
      </c>
      <c r="Y69" s="166">
        <f t="shared" ref="Y69:Y76" si="51">W69/W$8</f>
        <v>1.1724265647624597E-2</v>
      </c>
    </row>
    <row r="70" spans="1:25" s="57" customFormat="1" x14ac:dyDescent="0.25">
      <c r="B70" s="164" t="s">
        <v>115</v>
      </c>
      <c r="C70" s="165">
        <v>271</v>
      </c>
      <c r="D70" s="165">
        <v>0</v>
      </c>
      <c r="E70" s="165">
        <v>0</v>
      </c>
      <c r="F70" s="165">
        <v>0</v>
      </c>
      <c r="G70" s="165">
        <v>0</v>
      </c>
      <c r="H70" s="165">
        <v>0</v>
      </c>
      <c r="I70" s="166" t="str">
        <f t="shared" si="48"/>
        <v>-</v>
      </c>
      <c r="J70" s="166">
        <f t="shared" si="45"/>
        <v>0</v>
      </c>
      <c r="K70" s="165">
        <v>1796</v>
      </c>
      <c r="L70" s="165">
        <v>1195</v>
      </c>
      <c r="M70" s="165">
        <v>0</v>
      </c>
      <c r="N70" s="165">
        <v>1993</v>
      </c>
      <c r="O70" s="165">
        <v>0</v>
      </c>
      <c r="P70" s="165">
        <v>0</v>
      </c>
      <c r="Q70" s="166" t="str">
        <f t="shared" si="49"/>
        <v>-</v>
      </c>
      <c r="R70" s="166">
        <f t="shared" si="47"/>
        <v>0</v>
      </c>
      <c r="S70" s="165">
        <v>2067</v>
      </c>
      <c r="T70" s="165">
        <v>5107</v>
      </c>
      <c r="U70" s="165">
        <v>5122</v>
      </c>
      <c r="V70" s="165">
        <v>5111</v>
      </c>
      <c r="W70" s="165">
        <v>5483</v>
      </c>
      <c r="X70" s="166">
        <f t="shared" si="50"/>
        <v>7.2784190960673012E-2</v>
      </c>
      <c r="Y70" s="166">
        <f t="shared" si="51"/>
        <v>2.6650697958594447E-3</v>
      </c>
    </row>
    <row r="71" spans="1:25" x14ac:dyDescent="0.25">
      <c r="A71" s="57"/>
      <c r="B71" s="164" t="s">
        <v>118</v>
      </c>
      <c r="C71" s="165">
        <v>564</v>
      </c>
      <c r="D71" s="165">
        <v>0</v>
      </c>
      <c r="E71" s="165">
        <v>0</v>
      </c>
      <c r="F71" s="165">
        <v>0</v>
      </c>
      <c r="G71" s="165">
        <v>0</v>
      </c>
      <c r="H71" s="165">
        <v>0</v>
      </c>
      <c r="I71" s="166" t="str">
        <f t="shared" si="48"/>
        <v>-</v>
      </c>
      <c r="J71" s="166">
        <f t="shared" si="45"/>
        <v>0</v>
      </c>
      <c r="K71" s="165">
        <v>1867</v>
      </c>
      <c r="L71" s="165">
        <v>1158</v>
      </c>
      <c r="M71" s="165">
        <v>0</v>
      </c>
      <c r="N71" s="165">
        <v>1042</v>
      </c>
      <c r="O71" s="165">
        <v>0</v>
      </c>
      <c r="P71" s="165">
        <v>0</v>
      </c>
      <c r="Q71" s="166" t="str">
        <f t="shared" si="49"/>
        <v>-</v>
      </c>
      <c r="R71" s="166">
        <f t="shared" si="47"/>
        <v>0</v>
      </c>
      <c r="S71" s="165">
        <v>2431</v>
      </c>
      <c r="T71" s="165">
        <v>6745</v>
      </c>
      <c r="U71" s="165">
        <v>8527</v>
      </c>
      <c r="V71" s="165">
        <v>10065</v>
      </c>
      <c r="W71" s="165">
        <v>5029</v>
      </c>
      <c r="X71" s="166">
        <f t="shared" si="50"/>
        <v>-0.50034773969200197</v>
      </c>
      <c r="Y71" s="166">
        <f t="shared" si="51"/>
        <v>2.44439832270238E-3</v>
      </c>
    </row>
    <row r="72" spans="1:25" x14ac:dyDescent="0.25">
      <c r="A72" s="57"/>
      <c r="B72" s="164" t="s">
        <v>125</v>
      </c>
      <c r="C72" s="165">
        <v>22</v>
      </c>
      <c r="D72" s="165">
        <v>0</v>
      </c>
      <c r="E72" s="165">
        <v>0</v>
      </c>
      <c r="F72" s="165">
        <v>0</v>
      </c>
      <c r="G72" s="165">
        <v>0</v>
      </c>
      <c r="H72" s="165">
        <v>0</v>
      </c>
      <c r="I72" s="166" t="str">
        <f t="shared" si="48"/>
        <v>-</v>
      </c>
      <c r="J72" s="166">
        <f t="shared" si="45"/>
        <v>0</v>
      </c>
      <c r="K72" s="165">
        <v>182</v>
      </c>
      <c r="L72" s="165">
        <v>415</v>
      </c>
      <c r="M72" s="165">
        <v>0</v>
      </c>
      <c r="N72" s="165">
        <v>289</v>
      </c>
      <c r="O72" s="165">
        <v>0</v>
      </c>
      <c r="P72" s="165">
        <v>0</v>
      </c>
      <c r="Q72" s="166" t="str">
        <f t="shared" si="49"/>
        <v>-</v>
      </c>
      <c r="R72" s="166">
        <f t="shared" si="47"/>
        <v>0</v>
      </c>
      <c r="S72" s="165">
        <v>204</v>
      </c>
      <c r="T72" s="165">
        <v>787</v>
      </c>
      <c r="U72" s="165">
        <v>1669</v>
      </c>
      <c r="V72" s="165">
        <v>2367</v>
      </c>
      <c r="W72" s="165">
        <v>1356</v>
      </c>
      <c r="X72" s="166">
        <f t="shared" si="50"/>
        <v>-0.42712294043092525</v>
      </c>
      <c r="Y72" s="166">
        <f t="shared" si="51"/>
        <v>6.5909805638982445E-4</v>
      </c>
    </row>
    <row r="73" spans="1:25" x14ac:dyDescent="0.25">
      <c r="A73" s="57"/>
      <c r="B73" s="164" t="s">
        <v>121</v>
      </c>
      <c r="C73" s="165">
        <v>0</v>
      </c>
      <c r="D73" s="165">
        <v>0</v>
      </c>
      <c r="E73" s="165">
        <v>0</v>
      </c>
      <c r="F73" s="165">
        <v>0</v>
      </c>
      <c r="G73" s="165">
        <v>0</v>
      </c>
      <c r="H73" s="165">
        <v>0</v>
      </c>
      <c r="I73" s="166" t="str">
        <f t="shared" si="48"/>
        <v>-</v>
      </c>
      <c r="J73" s="166">
        <f t="shared" si="45"/>
        <v>0</v>
      </c>
      <c r="K73" s="165">
        <v>442</v>
      </c>
      <c r="L73" s="165">
        <v>413</v>
      </c>
      <c r="M73" s="165">
        <v>0</v>
      </c>
      <c r="N73" s="165">
        <v>337</v>
      </c>
      <c r="O73" s="165">
        <v>0</v>
      </c>
      <c r="P73" s="165">
        <v>0</v>
      </c>
      <c r="Q73" s="166" t="str">
        <f t="shared" si="49"/>
        <v>-</v>
      </c>
      <c r="R73" s="166">
        <f t="shared" si="47"/>
        <v>0</v>
      </c>
      <c r="S73" s="165">
        <v>442</v>
      </c>
      <c r="T73" s="165">
        <v>1343</v>
      </c>
      <c r="U73" s="165">
        <v>1273</v>
      </c>
      <c r="V73" s="165">
        <v>1710</v>
      </c>
      <c r="W73" s="165">
        <v>1550</v>
      </c>
      <c r="X73" s="166">
        <f t="shared" si="50"/>
        <v>-9.3567251461988299E-2</v>
      </c>
      <c r="Y73" s="166">
        <f t="shared" si="51"/>
        <v>7.5339379602081696E-4</v>
      </c>
    </row>
    <row r="74" spans="1:25" x14ac:dyDescent="0.25">
      <c r="A74" s="57"/>
      <c r="B74" s="164" t="s">
        <v>130</v>
      </c>
      <c r="C74" s="165">
        <v>83</v>
      </c>
      <c r="D74" s="165">
        <v>0</v>
      </c>
      <c r="E74" s="165">
        <v>0</v>
      </c>
      <c r="F74" s="165">
        <v>0</v>
      </c>
      <c r="G74" s="165">
        <v>0</v>
      </c>
      <c r="H74" s="165">
        <v>0</v>
      </c>
      <c r="I74" s="166" t="str">
        <f t="shared" si="48"/>
        <v>-</v>
      </c>
      <c r="J74" s="166">
        <f t="shared" si="45"/>
        <v>0</v>
      </c>
      <c r="K74" s="165">
        <v>551</v>
      </c>
      <c r="L74" s="165">
        <v>0</v>
      </c>
      <c r="M74" s="165">
        <v>0</v>
      </c>
      <c r="N74" s="165">
        <v>1</v>
      </c>
      <c r="O74" s="165">
        <v>0</v>
      </c>
      <c r="P74" s="165">
        <v>0</v>
      </c>
      <c r="Q74" s="166" t="str">
        <f t="shared" si="49"/>
        <v>-</v>
      </c>
      <c r="R74" s="166">
        <f t="shared" si="47"/>
        <v>0</v>
      </c>
      <c r="S74" s="165">
        <v>634</v>
      </c>
      <c r="T74" s="165">
        <v>878</v>
      </c>
      <c r="U74" s="165">
        <v>3180</v>
      </c>
      <c r="V74" s="165">
        <v>1641</v>
      </c>
      <c r="W74" s="165">
        <v>810</v>
      </c>
      <c r="X74" s="166">
        <f t="shared" si="50"/>
        <v>-0.50639853747714803</v>
      </c>
      <c r="Y74" s="166">
        <f t="shared" si="51"/>
        <v>3.9370901598507211E-4</v>
      </c>
    </row>
    <row r="75" spans="1:25" x14ac:dyDescent="0.25">
      <c r="A75" s="57"/>
      <c r="B75" s="164" t="s">
        <v>133</v>
      </c>
      <c r="C75" s="165">
        <v>63</v>
      </c>
      <c r="D75" s="165">
        <v>0</v>
      </c>
      <c r="E75" s="165">
        <v>0</v>
      </c>
      <c r="F75" s="165">
        <v>0</v>
      </c>
      <c r="G75" s="165">
        <v>0</v>
      </c>
      <c r="H75" s="165">
        <v>0</v>
      </c>
      <c r="I75" s="166" t="str">
        <f t="shared" si="48"/>
        <v>-</v>
      </c>
      <c r="J75" s="166">
        <f t="shared" si="45"/>
        <v>0</v>
      </c>
      <c r="K75" s="165">
        <v>710</v>
      </c>
      <c r="L75" s="165">
        <v>0</v>
      </c>
      <c r="M75" s="165">
        <v>0</v>
      </c>
      <c r="N75" s="165">
        <v>18</v>
      </c>
      <c r="O75" s="165">
        <v>0</v>
      </c>
      <c r="P75" s="165">
        <v>0</v>
      </c>
      <c r="Q75" s="166" t="str">
        <f t="shared" si="49"/>
        <v>-</v>
      </c>
      <c r="R75" s="166">
        <f t="shared" si="47"/>
        <v>0</v>
      </c>
      <c r="S75" s="165">
        <v>773</v>
      </c>
      <c r="T75" s="165">
        <v>278</v>
      </c>
      <c r="U75" s="165">
        <v>906</v>
      </c>
      <c r="V75" s="165">
        <v>203</v>
      </c>
      <c r="W75" s="165">
        <v>521</v>
      </c>
      <c r="X75" s="166">
        <f t="shared" si="50"/>
        <v>1.5665024630541873</v>
      </c>
      <c r="Y75" s="166">
        <f t="shared" si="51"/>
        <v>2.532375275657069E-4</v>
      </c>
    </row>
    <row r="76" spans="1:25" x14ac:dyDescent="0.25">
      <c r="A76" s="57"/>
      <c r="B76" s="169" t="s">
        <v>147</v>
      </c>
      <c r="C76" s="170">
        <f t="shared" ref="C76" si="52">C68-SUM(C69:C75)</f>
        <v>623</v>
      </c>
      <c r="D76" s="170">
        <f t="shared" ref="D76:H76" si="53">D68-SUM(D69:D75)</f>
        <v>0</v>
      </c>
      <c r="E76" s="170">
        <f t="shared" si="53"/>
        <v>0</v>
      </c>
      <c r="F76" s="170">
        <f t="shared" si="53"/>
        <v>0</v>
      </c>
      <c r="G76" s="170">
        <f t="shared" si="53"/>
        <v>0</v>
      </c>
      <c r="H76" s="170">
        <f t="shared" si="53"/>
        <v>0</v>
      </c>
      <c r="I76" s="171" t="str">
        <f t="shared" si="48"/>
        <v>-</v>
      </c>
      <c r="J76" s="171">
        <f t="shared" si="45"/>
        <v>0</v>
      </c>
      <c r="K76" s="170">
        <f t="shared" ref="K76:P76" si="54">K68-SUM(K69:K75)</f>
        <v>3568</v>
      </c>
      <c r="L76" s="170">
        <f t="shared" si="54"/>
        <v>3762</v>
      </c>
      <c r="M76" s="170">
        <f t="shared" si="54"/>
        <v>0</v>
      </c>
      <c r="N76" s="170">
        <f t="shared" si="54"/>
        <v>4749</v>
      </c>
      <c r="O76" s="170">
        <f t="shared" si="54"/>
        <v>0</v>
      </c>
      <c r="P76" s="170">
        <f t="shared" si="54"/>
        <v>0</v>
      </c>
      <c r="Q76" s="171" t="str">
        <f t="shared" si="49"/>
        <v>-</v>
      </c>
      <c r="R76" s="171">
        <f t="shared" si="47"/>
        <v>0</v>
      </c>
      <c r="S76" s="170">
        <f>S68-SUM(S69:S75)</f>
        <v>4191</v>
      </c>
      <c r="T76" s="170">
        <f>T68-SUM(T69:T75)</f>
        <v>13405</v>
      </c>
      <c r="U76" s="170">
        <f>U68-SUM(U69:U75)</f>
        <v>23010</v>
      </c>
      <c r="V76" s="170">
        <f>V68-SUM(V69:V75)</f>
        <v>26543</v>
      </c>
      <c r="W76" s="170">
        <f>W68-SUM(W69:W75)</f>
        <v>18249</v>
      </c>
      <c r="X76" s="171">
        <f t="shared" si="50"/>
        <v>-0.31247409863240783</v>
      </c>
      <c r="Y76" s="171">
        <f t="shared" si="51"/>
        <v>8.8701183119896058E-3</v>
      </c>
    </row>
    <row r="77" spans="1:25" x14ac:dyDescent="0.25">
      <c r="A77" s="57"/>
      <c r="B77" s="156" t="s">
        <v>50</v>
      </c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  <c r="N77" s="154"/>
      <c r="O77" s="154"/>
      <c r="P77" s="154"/>
      <c r="Q77" s="154"/>
      <c r="R77" s="154"/>
      <c r="S77" s="154"/>
      <c r="T77" s="154"/>
      <c r="U77" s="154"/>
      <c r="V77" s="154"/>
      <c r="W77" s="154"/>
      <c r="X77" s="154"/>
      <c r="Y77" s="154"/>
    </row>
    <row r="78" spans="1:25" x14ac:dyDescent="0.25">
      <c r="A78" s="57"/>
      <c r="B78" s="157" t="s">
        <v>70</v>
      </c>
      <c r="C78" s="177">
        <f t="shared" ref="C78:H78" si="55">C79+C82</f>
        <v>22825</v>
      </c>
      <c r="D78" s="177">
        <f t="shared" si="55"/>
        <v>20205</v>
      </c>
      <c r="E78" s="177">
        <f t="shared" si="55"/>
        <v>51269</v>
      </c>
      <c r="F78" s="177">
        <f t="shared" si="55"/>
        <v>50097</v>
      </c>
      <c r="G78" s="177">
        <f t="shared" si="55"/>
        <v>56290</v>
      </c>
      <c r="H78" s="177">
        <f t="shared" si="55"/>
        <v>59742</v>
      </c>
      <c r="I78" s="178">
        <f>IFERROR(H78/G78-1,"-")</f>
        <v>6.1325279801030419E-2</v>
      </c>
      <c r="J78" s="178">
        <f t="shared" ref="J78:J90" si="56">H78/H$8</f>
        <v>0.16025988379267239</v>
      </c>
      <c r="K78" s="177">
        <f t="shared" ref="K78:P78" si="57">K79+K82</f>
        <v>93394</v>
      </c>
      <c r="L78" s="177">
        <f t="shared" si="57"/>
        <v>30999</v>
      </c>
      <c r="M78" s="177">
        <f t="shared" si="57"/>
        <v>210056</v>
      </c>
      <c r="N78" s="177">
        <f t="shared" si="57"/>
        <v>256421</v>
      </c>
      <c r="O78" s="177">
        <f t="shared" si="57"/>
        <v>297132</v>
      </c>
      <c r="P78" s="177">
        <f t="shared" si="57"/>
        <v>291861</v>
      </c>
      <c r="Q78" s="178">
        <f>IFERROR(P78/O78-1,"-")</f>
        <v>-1.7739590485036927E-2</v>
      </c>
      <c r="R78" s="178">
        <f t="shared" ref="R78:R90" si="58">P78/P$8</f>
        <v>0.17325497529050354</v>
      </c>
      <c r="S78" s="177">
        <f>S79+S82</f>
        <v>116219</v>
      </c>
      <c r="T78" s="177">
        <f>T79+T82</f>
        <v>261325</v>
      </c>
      <c r="U78" s="177">
        <f>U79+U82</f>
        <v>306518</v>
      </c>
      <c r="V78" s="177">
        <f>V79+V82</f>
        <v>353422</v>
      </c>
      <c r="W78" s="177">
        <f>W79+W82</f>
        <v>351603</v>
      </c>
      <c r="X78" s="178">
        <f>IFERROR(W78/V78-1,"-")</f>
        <v>-5.1468216466433736E-3</v>
      </c>
      <c r="Y78" s="178">
        <f>W78/W$8</f>
        <v>0.17090033474987568</v>
      </c>
    </row>
    <row r="79" spans="1:25" x14ac:dyDescent="0.25">
      <c r="A79" s="57"/>
      <c r="B79" s="160" t="s">
        <v>99</v>
      </c>
      <c r="C79" s="161">
        <v>7130</v>
      </c>
      <c r="D79" s="161">
        <v>11886</v>
      </c>
      <c r="E79" s="161">
        <v>24698</v>
      </c>
      <c r="F79" s="161">
        <v>23276</v>
      </c>
      <c r="G79" s="161">
        <v>25800</v>
      </c>
      <c r="H79" s="161">
        <v>28395</v>
      </c>
      <c r="I79" s="162">
        <f>IFERROR(H79/G79-1,"-")</f>
        <v>0.10058139534883725</v>
      </c>
      <c r="J79" s="162">
        <f t="shared" si="56"/>
        <v>7.6170523254878192E-2</v>
      </c>
      <c r="K79" s="161">
        <v>33582</v>
      </c>
      <c r="L79" s="161">
        <v>16882</v>
      </c>
      <c r="M79" s="161">
        <v>101615</v>
      </c>
      <c r="N79" s="161">
        <v>112041</v>
      </c>
      <c r="O79" s="161">
        <v>114422</v>
      </c>
      <c r="P79" s="161">
        <v>112058</v>
      </c>
      <c r="Q79" s="162">
        <f>IFERROR(P79/O79-1,"-")</f>
        <v>-2.066036251769765E-2</v>
      </c>
      <c r="R79" s="162">
        <f t="shared" si="58"/>
        <v>6.6520042147129102E-2</v>
      </c>
      <c r="S79" s="161">
        <v>40712</v>
      </c>
      <c r="T79" s="161">
        <v>126313</v>
      </c>
      <c r="U79" s="161">
        <v>135317</v>
      </c>
      <c r="V79" s="161">
        <v>140222</v>
      </c>
      <c r="W79" s="161">
        <v>140453</v>
      </c>
      <c r="X79" s="162">
        <f>IFERROR(W79/V79-1,"-")</f>
        <v>1.6473877137681558E-3</v>
      </c>
      <c r="Y79" s="162">
        <f>W79/W$8</f>
        <v>6.8268657311297942E-2</v>
      </c>
    </row>
    <row r="80" spans="1:25" x14ac:dyDescent="0.25">
      <c r="A80" s="57"/>
      <c r="B80" s="164" t="s">
        <v>105</v>
      </c>
      <c r="C80" s="165">
        <v>2296</v>
      </c>
      <c r="D80" s="165">
        <v>8324</v>
      </c>
      <c r="E80" s="165">
        <v>14831</v>
      </c>
      <c r="F80" s="165">
        <v>13951</v>
      </c>
      <c r="G80" s="165">
        <v>13560</v>
      </c>
      <c r="H80" s="165">
        <v>13516</v>
      </c>
      <c r="I80" s="166">
        <f>IFERROR(H80/G80-1,"-")</f>
        <v>-3.244837758112129E-3</v>
      </c>
      <c r="J80" s="166">
        <f t="shared" si="56"/>
        <v>3.6257115418662916E-2</v>
      </c>
      <c r="K80" s="165">
        <v>4508</v>
      </c>
      <c r="L80" s="165">
        <v>3387</v>
      </c>
      <c r="M80" s="165">
        <v>14424</v>
      </c>
      <c r="N80" s="165">
        <v>13000</v>
      </c>
      <c r="O80" s="165">
        <v>20650</v>
      </c>
      <c r="P80" s="165">
        <v>15133</v>
      </c>
      <c r="Q80" s="166">
        <f>IFERROR(P80/O80-1,"-")</f>
        <v>-0.26716707021791763</v>
      </c>
      <c r="R80" s="166">
        <f t="shared" si="58"/>
        <v>8.9832747132065956E-3</v>
      </c>
      <c r="S80" s="165">
        <v>6804</v>
      </c>
      <c r="T80" s="165">
        <v>29255</v>
      </c>
      <c r="U80" s="165">
        <v>26951</v>
      </c>
      <c r="V80" s="165">
        <v>34210</v>
      </c>
      <c r="W80" s="165">
        <v>28649</v>
      </c>
      <c r="X80" s="166">
        <f>IFERROR(W80/V80-1,"-")</f>
        <v>-0.16255480853551596</v>
      </c>
      <c r="Y80" s="166">
        <f>W80/W$8</f>
        <v>1.3925147653032507E-2</v>
      </c>
    </row>
    <row r="81" spans="1:25" x14ac:dyDescent="0.25">
      <c r="A81" s="57"/>
      <c r="B81" s="164" t="s">
        <v>102</v>
      </c>
      <c r="C81" s="165">
        <v>4834</v>
      </c>
      <c r="D81" s="165">
        <v>3562</v>
      </c>
      <c r="E81" s="165">
        <v>9867</v>
      </c>
      <c r="F81" s="165">
        <v>9325</v>
      </c>
      <c r="G81" s="165">
        <v>12240</v>
      </c>
      <c r="H81" s="165">
        <v>14879</v>
      </c>
      <c r="I81" s="166">
        <f>IFERROR(H81/G81-1,"-")</f>
        <v>0.21560457516339859</v>
      </c>
      <c r="J81" s="166">
        <f t="shared" si="56"/>
        <v>3.9913407836215269E-2</v>
      </c>
      <c r="K81" s="165">
        <v>29074</v>
      </c>
      <c r="L81" s="165">
        <v>13495</v>
      </c>
      <c r="M81" s="165">
        <v>87191</v>
      </c>
      <c r="N81" s="165">
        <v>99041</v>
      </c>
      <c r="O81" s="165">
        <v>93772</v>
      </c>
      <c r="P81" s="165">
        <v>96925</v>
      </c>
      <c r="Q81" s="166">
        <f>IFERROR(P81/O81-1,"-")</f>
        <v>3.3624109542294001E-2</v>
      </c>
      <c r="R81" s="166">
        <f t="shared" si="58"/>
        <v>5.7536767433922505E-2</v>
      </c>
      <c r="S81" s="165">
        <v>33908</v>
      </c>
      <c r="T81" s="165">
        <v>97058</v>
      </c>
      <c r="U81" s="165">
        <v>108366</v>
      </c>
      <c r="V81" s="165">
        <v>106012</v>
      </c>
      <c r="W81" s="165">
        <v>111804</v>
      </c>
      <c r="X81" s="166">
        <f>IFERROR(W81/V81-1,"-")</f>
        <v>5.4635324302909183E-2</v>
      </c>
      <c r="Y81" s="166">
        <f>W81/W$8</f>
        <v>5.4343509658265433E-2</v>
      </c>
    </row>
    <row r="82" spans="1:25" x14ac:dyDescent="0.25">
      <c r="A82" s="57"/>
      <c r="B82" s="160" t="s">
        <v>109</v>
      </c>
      <c r="C82" s="161">
        <v>15695</v>
      </c>
      <c r="D82" s="161">
        <v>8319</v>
      </c>
      <c r="E82" s="161">
        <v>26571</v>
      </c>
      <c r="F82" s="161">
        <v>26821</v>
      </c>
      <c r="G82" s="161">
        <v>30490</v>
      </c>
      <c r="H82" s="161">
        <v>31347</v>
      </c>
      <c r="I82" s="162">
        <f>IFERROR(H82/G82-1,"-")</f>
        <v>2.810757625450977E-2</v>
      </c>
      <c r="J82" s="162">
        <f t="shared" si="56"/>
        <v>8.40893605377942E-2</v>
      </c>
      <c r="K82" s="161">
        <v>59812</v>
      </c>
      <c r="L82" s="161">
        <v>14117</v>
      </c>
      <c r="M82" s="161">
        <v>108441</v>
      </c>
      <c r="N82" s="161">
        <v>144380</v>
      </c>
      <c r="O82" s="161">
        <v>182710</v>
      </c>
      <c r="P82" s="161">
        <v>179803</v>
      </c>
      <c r="Q82" s="162">
        <f>IFERROR(P82/O82-1,"-")</f>
        <v>-1.5910459197635562E-2</v>
      </c>
      <c r="R82" s="162">
        <f t="shared" si="58"/>
        <v>0.10673493314337444</v>
      </c>
      <c r="S82" s="161">
        <v>75507</v>
      </c>
      <c r="T82" s="161">
        <v>135012</v>
      </c>
      <c r="U82" s="161">
        <v>171201</v>
      </c>
      <c r="V82" s="161">
        <v>213200</v>
      </c>
      <c r="W82" s="161">
        <v>211150</v>
      </c>
      <c r="X82" s="162">
        <f>IFERROR(W82/V82-1,"-")</f>
        <v>-9.6153846153845812E-3</v>
      </c>
      <c r="Y82" s="162">
        <f>W82/W$8</f>
        <v>0.10263167743857775</v>
      </c>
    </row>
    <row r="83" spans="1:25" s="57" customFormat="1" x14ac:dyDescent="0.25">
      <c r="B83" s="164" t="s">
        <v>112</v>
      </c>
      <c r="C83" s="165">
        <v>2122</v>
      </c>
      <c r="D83" s="165">
        <v>1060</v>
      </c>
      <c r="E83" s="165">
        <v>2705</v>
      </c>
      <c r="F83" s="165">
        <v>3631</v>
      </c>
      <c r="G83" s="165">
        <v>4400</v>
      </c>
      <c r="H83" s="165">
        <v>4182</v>
      </c>
      <c r="I83" s="166">
        <f t="shared" ref="I83:I90" si="59">IFERROR(H83/G83-1,"-")</f>
        <v>-4.9545454545454559E-2</v>
      </c>
      <c r="J83" s="166">
        <f t="shared" si="56"/>
        <v>1.1218352817464363E-2</v>
      </c>
      <c r="K83" s="165">
        <v>12866</v>
      </c>
      <c r="L83" s="165">
        <v>679</v>
      </c>
      <c r="M83" s="165">
        <v>23164</v>
      </c>
      <c r="N83" s="165">
        <v>31605</v>
      </c>
      <c r="O83" s="165">
        <v>39873</v>
      </c>
      <c r="P83" s="165">
        <v>41088</v>
      </c>
      <c r="Q83" s="166">
        <f t="shared" ref="Q83:Q90" si="60">IFERROR(P83/O83-1,"-")</f>
        <v>3.047174779926265E-2</v>
      </c>
      <c r="R83" s="166">
        <f t="shared" si="58"/>
        <v>2.4390721695383109E-2</v>
      </c>
      <c r="S83" s="165">
        <v>14988</v>
      </c>
      <c r="T83" s="165">
        <v>25869</v>
      </c>
      <c r="U83" s="165">
        <v>35236</v>
      </c>
      <c r="V83" s="165">
        <v>44273</v>
      </c>
      <c r="W83" s="165">
        <v>45270</v>
      </c>
      <c r="X83" s="166">
        <f t="shared" ref="X83:X90" si="61">IFERROR(W83/V83-1,"-")</f>
        <v>2.2519368463849387E-2</v>
      </c>
      <c r="Y83" s="166">
        <f t="shared" ref="Y83:Y90" si="62">W83/W$8</f>
        <v>2.2003959448943476E-2</v>
      </c>
    </row>
    <row r="84" spans="1:25" s="57" customFormat="1" x14ac:dyDescent="0.25">
      <c r="B84" s="164" t="s">
        <v>115</v>
      </c>
      <c r="C84" s="165">
        <v>4630</v>
      </c>
      <c r="D84" s="165">
        <v>1738</v>
      </c>
      <c r="E84" s="165">
        <v>6811</v>
      </c>
      <c r="F84" s="165">
        <v>7673</v>
      </c>
      <c r="G84" s="165">
        <v>7923</v>
      </c>
      <c r="H84" s="165">
        <v>7608</v>
      </c>
      <c r="I84" s="166">
        <f t="shared" si="59"/>
        <v>-3.9757667550170406E-2</v>
      </c>
      <c r="J84" s="166">
        <f t="shared" si="56"/>
        <v>2.0408710721011209E-2</v>
      </c>
      <c r="K84" s="165">
        <v>23780</v>
      </c>
      <c r="L84" s="165">
        <v>2853</v>
      </c>
      <c r="M84" s="165">
        <v>38807</v>
      </c>
      <c r="N84" s="165">
        <v>48521</v>
      </c>
      <c r="O84" s="165">
        <v>56382</v>
      </c>
      <c r="P84" s="165">
        <v>54274</v>
      </c>
      <c r="Q84" s="166">
        <f t="shared" si="60"/>
        <v>-3.7387818807420814E-2</v>
      </c>
      <c r="R84" s="166">
        <f t="shared" si="58"/>
        <v>3.2218215276850246E-2</v>
      </c>
      <c r="S84" s="165">
        <v>28410</v>
      </c>
      <c r="T84" s="165">
        <v>45618</v>
      </c>
      <c r="U84" s="165">
        <v>56194</v>
      </c>
      <c r="V84" s="165">
        <v>64305</v>
      </c>
      <c r="W84" s="165">
        <v>61882</v>
      </c>
      <c r="X84" s="166">
        <f t="shared" si="61"/>
        <v>-3.7679807168960466E-2</v>
      </c>
      <c r="Y84" s="166">
        <f t="shared" si="62"/>
        <v>3.0078396700232386E-2</v>
      </c>
    </row>
    <row r="85" spans="1:25" x14ac:dyDescent="0.25">
      <c r="A85" s="57"/>
      <c r="B85" s="164" t="s">
        <v>118</v>
      </c>
      <c r="C85" s="165">
        <v>1312</v>
      </c>
      <c r="D85" s="165">
        <v>2160</v>
      </c>
      <c r="E85" s="165">
        <v>3353</v>
      </c>
      <c r="F85" s="165">
        <v>3076</v>
      </c>
      <c r="G85" s="165">
        <v>3044</v>
      </c>
      <c r="H85" s="165">
        <v>3130</v>
      </c>
      <c r="I85" s="166">
        <f t="shared" si="59"/>
        <v>2.8252299605781905E-2</v>
      </c>
      <c r="J85" s="166">
        <f t="shared" si="56"/>
        <v>8.3963281488913088E-3</v>
      </c>
      <c r="K85" s="165">
        <v>3742</v>
      </c>
      <c r="L85" s="165">
        <v>2367</v>
      </c>
      <c r="M85" s="165">
        <v>9700</v>
      </c>
      <c r="N85" s="165">
        <v>14025</v>
      </c>
      <c r="O85" s="165">
        <v>23111</v>
      </c>
      <c r="P85" s="165">
        <v>20211</v>
      </c>
      <c r="Q85" s="166">
        <f t="shared" si="60"/>
        <v>-0.12548137250659863</v>
      </c>
      <c r="R85" s="166">
        <f t="shared" si="58"/>
        <v>1.1997684876007301E-2</v>
      </c>
      <c r="S85" s="165">
        <v>5054</v>
      </c>
      <c r="T85" s="165">
        <v>13053</v>
      </c>
      <c r="U85" s="165">
        <v>17101</v>
      </c>
      <c r="V85" s="165">
        <v>26155</v>
      </c>
      <c r="W85" s="165">
        <v>23341</v>
      </c>
      <c r="X85" s="166">
        <f t="shared" si="61"/>
        <v>-0.10758937105715927</v>
      </c>
      <c r="Y85" s="166">
        <f t="shared" si="62"/>
        <v>1.134513844704638E-2</v>
      </c>
    </row>
    <row r="86" spans="1:25" x14ac:dyDescent="0.25">
      <c r="A86" s="57"/>
      <c r="B86" s="164" t="s">
        <v>125</v>
      </c>
      <c r="C86" s="165">
        <v>223</v>
      </c>
      <c r="D86" s="165">
        <v>71</v>
      </c>
      <c r="E86" s="165">
        <v>678</v>
      </c>
      <c r="F86" s="165">
        <v>597</v>
      </c>
      <c r="G86" s="165">
        <v>767</v>
      </c>
      <c r="H86" s="165">
        <v>752</v>
      </c>
      <c r="I86" s="166">
        <f t="shared" si="59"/>
        <v>-1.9556714471968717E-2</v>
      </c>
      <c r="J86" s="166">
        <f t="shared" si="56"/>
        <v>2.0172647820978482E-3</v>
      </c>
      <c r="K86" s="165">
        <v>951</v>
      </c>
      <c r="L86" s="165">
        <v>246</v>
      </c>
      <c r="M86" s="165">
        <v>2194</v>
      </c>
      <c r="N86" s="165">
        <v>2146</v>
      </c>
      <c r="O86" s="165">
        <v>4217</v>
      </c>
      <c r="P86" s="165">
        <v>4809</v>
      </c>
      <c r="Q86" s="166">
        <f t="shared" si="60"/>
        <v>0.14038415935499171</v>
      </c>
      <c r="R86" s="166">
        <f t="shared" si="58"/>
        <v>2.854725969458172E-3</v>
      </c>
      <c r="S86" s="165">
        <v>1174</v>
      </c>
      <c r="T86" s="165">
        <v>2872</v>
      </c>
      <c r="U86" s="165">
        <v>2743</v>
      </c>
      <c r="V86" s="165">
        <v>4984</v>
      </c>
      <c r="W86" s="165">
        <v>5561</v>
      </c>
      <c r="X86" s="166">
        <f t="shared" si="61"/>
        <v>0.1157704654895666</v>
      </c>
      <c r="Y86" s="166">
        <f t="shared" si="62"/>
        <v>2.7029825159172668E-3</v>
      </c>
    </row>
    <row r="87" spans="1:25" x14ac:dyDescent="0.25">
      <c r="A87" s="57"/>
      <c r="B87" s="164" t="s">
        <v>121</v>
      </c>
      <c r="C87" s="165">
        <v>139</v>
      </c>
      <c r="D87" s="165">
        <v>186</v>
      </c>
      <c r="E87" s="165">
        <v>490</v>
      </c>
      <c r="F87" s="165">
        <v>383</v>
      </c>
      <c r="G87" s="165">
        <v>373</v>
      </c>
      <c r="H87" s="165">
        <v>394</v>
      </c>
      <c r="I87" s="166">
        <f t="shared" si="59"/>
        <v>5.6300268096514783E-2</v>
      </c>
      <c r="J87" s="166">
        <f t="shared" si="56"/>
        <v>1.0569179842374364E-3</v>
      </c>
      <c r="K87" s="165">
        <v>854</v>
      </c>
      <c r="L87" s="165">
        <v>392</v>
      </c>
      <c r="M87" s="165">
        <v>2031</v>
      </c>
      <c r="N87" s="165">
        <v>2061</v>
      </c>
      <c r="O87" s="165">
        <v>2858</v>
      </c>
      <c r="P87" s="165">
        <v>3007</v>
      </c>
      <c r="Q87" s="166">
        <f t="shared" si="60"/>
        <v>5.2134359692092458E-2</v>
      </c>
      <c r="R87" s="166">
        <f t="shared" si="58"/>
        <v>1.7850199605241679E-3</v>
      </c>
      <c r="S87" s="165">
        <v>993</v>
      </c>
      <c r="T87" s="165">
        <v>2521</v>
      </c>
      <c r="U87" s="165">
        <v>2444</v>
      </c>
      <c r="V87" s="165">
        <v>3231</v>
      </c>
      <c r="W87" s="165">
        <v>3401</v>
      </c>
      <c r="X87" s="166">
        <f t="shared" si="61"/>
        <v>5.2615289384091657E-2</v>
      </c>
      <c r="Y87" s="166">
        <f t="shared" si="62"/>
        <v>1.6530918066237411E-3</v>
      </c>
    </row>
    <row r="88" spans="1:25" x14ac:dyDescent="0.25">
      <c r="A88" s="57"/>
      <c r="B88" s="164" t="s">
        <v>130</v>
      </c>
      <c r="C88" s="165">
        <v>282</v>
      </c>
      <c r="D88" s="165">
        <v>26</v>
      </c>
      <c r="E88" s="165">
        <v>230</v>
      </c>
      <c r="F88" s="165">
        <v>273</v>
      </c>
      <c r="G88" s="165">
        <v>314</v>
      </c>
      <c r="H88" s="165">
        <v>338</v>
      </c>
      <c r="I88" s="166">
        <f t="shared" si="59"/>
        <v>7.6433121019108263E-2</v>
      </c>
      <c r="J88" s="166">
        <f t="shared" si="56"/>
        <v>9.0669613876206469E-4</v>
      </c>
      <c r="K88" s="165">
        <v>1406</v>
      </c>
      <c r="L88" s="165">
        <v>25</v>
      </c>
      <c r="M88" s="165">
        <v>1453</v>
      </c>
      <c r="N88" s="165">
        <v>2158</v>
      </c>
      <c r="O88" s="165">
        <v>2077</v>
      </c>
      <c r="P88" s="165">
        <v>2149</v>
      </c>
      <c r="Q88" s="166">
        <f t="shared" si="60"/>
        <v>3.4665382763601427E-2</v>
      </c>
      <c r="R88" s="166">
        <f t="shared" si="58"/>
        <v>1.2756926821305076E-3</v>
      </c>
      <c r="S88" s="165">
        <v>1688</v>
      </c>
      <c r="T88" s="165">
        <v>1683</v>
      </c>
      <c r="U88" s="165">
        <v>2431</v>
      </c>
      <c r="V88" s="165">
        <v>2391</v>
      </c>
      <c r="W88" s="165">
        <v>2487</v>
      </c>
      <c r="X88" s="166">
        <f t="shared" si="61"/>
        <v>4.0150564617315032E-2</v>
      </c>
      <c r="Y88" s="166">
        <f t="shared" si="62"/>
        <v>1.2088324972282399E-3</v>
      </c>
    </row>
    <row r="89" spans="1:25" x14ac:dyDescent="0.25">
      <c r="A89" s="57"/>
      <c r="B89" s="164" t="s">
        <v>133</v>
      </c>
      <c r="C89" s="165">
        <v>378</v>
      </c>
      <c r="D89" s="165">
        <v>90</v>
      </c>
      <c r="E89" s="165">
        <v>383</v>
      </c>
      <c r="F89" s="165">
        <v>366</v>
      </c>
      <c r="G89" s="165">
        <v>353</v>
      </c>
      <c r="H89" s="165">
        <v>426</v>
      </c>
      <c r="I89" s="166">
        <f t="shared" si="59"/>
        <v>0.20679886685552407</v>
      </c>
      <c r="J89" s="166">
        <f t="shared" si="56"/>
        <v>1.1427590387947915E-3</v>
      </c>
      <c r="K89" s="165">
        <v>1875</v>
      </c>
      <c r="L89" s="165">
        <v>110</v>
      </c>
      <c r="M89" s="165">
        <v>1032</v>
      </c>
      <c r="N89" s="165">
        <v>2083</v>
      </c>
      <c r="O89" s="165">
        <v>2560</v>
      </c>
      <c r="P89" s="165">
        <v>1632</v>
      </c>
      <c r="Q89" s="166">
        <f t="shared" si="60"/>
        <v>-0.36250000000000004</v>
      </c>
      <c r="R89" s="166">
        <f t="shared" si="58"/>
        <v>9.6879034771381507E-4</v>
      </c>
      <c r="S89" s="165">
        <v>2253</v>
      </c>
      <c r="T89" s="165">
        <v>1415</v>
      </c>
      <c r="U89" s="165">
        <v>2449</v>
      </c>
      <c r="V89" s="165">
        <v>2913</v>
      </c>
      <c r="W89" s="165">
        <v>2058</v>
      </c>
      <c r="X89" s="166">
        <f t="shared" si="61"/>
        <v>-0.2935118434603502</v>
      </c>
      <c r="Y89" s="166">
        <f t="shared" si="62"/>
        <v>1.0003125369102202E-3</v>
      </c>
    </row>
    <row r="90" spans="1:25" x14ac:dyDescent="0.25">
      <c r="A90" s="57"/>
      <c r="B90" s="169" t="s">
        <v>147</v>
      </c>
      <c r="C90" s="170">
        <f t="shared" ref="C90" si="63">C82-SUM(C83:C89)</f>
        <v>6609</v>
      </c>
      <c r="D90" s="170">
        <f t="shared" ref="D90:H90" si="64">D82-SUM(D83:D89)</f>
        <v>2988</v>
      </c>
      <c r="E90" s="170">
        <f t="shared" si="64"/>
        <v>11921</v>
      </c>
      <c r="F90" s="170">
        <f t="shared" si="64"/>
        <v>10822</v>
      </c>
      <c r="G90" s="170">
        <f t="shared" si="64"/>
        <v>13316</v>
      </c>
      <c r="H90" s="170">
        <f t="shared" si="64"/>
        <v>14517</v>
      </c>
      <c r="I90" s="171">
        <f t="shared" si="59"/>
        <v>9.0192249924902379E-2</v>
      </c>
      <c r="J90" s="171">
        <f t="shared" si="56"/>
        <v>3.8942330906535184E-2</v>
      </c>
      <c r="K90" s="170">
        <f t="shared" ref="K90:P90" si="65">K82-SUM(K83:K89)</f>
        <v>14338</v>
      </c>
      <c r="L90" s="170">
        <f t="shared" si="65"/>
        <v>7445</v>
      </c>
      <c r="M90" s="170">
        <f t="shared" si="65"/>
        <v>30060</v>
      </c>
      <c r="N90" s="170">
        <f t="shared" si="65"/>
        <v>41781</v>
      </c>
      <c r="O90" s="170">
        <f t="shared" si="65"/>
        <v>51632</v>
      </c>
      <c r="P90" s="170">
        <f t="shared" si="65"/>
        <v>52633</v>
      </c>
      <c r="Q90" s="171">
        <f t="shared" si="60"/>
        <v>1.9387201735358017E-2</v>
      </c>
      <c r="R90" s="171">
        <f t="shared" si="58"/>
        <v>3.1244082335307125E-2</v>
      </c>
      <c r="S90" s="170">
        <f>S82-SUM(S83:S89)</f>
        <v>20947</v>
      </c>
      <c r="T90" s="170">
        <f>T82-SUM(T83:T89)</f>
        <v>41981</v>
      </c>
      <c r="U90" s="170">
        <f>U82-SUM(U83:U89)</f>
        <v>52603</v>
      </c>
      <c r="V90" s="170">
        <f>V82-SUM(V83:V89)</f>
        <v>64948</v>
      </c>
      <c r="W90" s="170">
        <f>W82-SUM(W83:W89)</f>
        <v>67150</v>
      </c>
      <c r="X90" s="171">
        <f t="shared" si="61"/>
        <v>3.3904046313974145E-2</v>
      </c>
      <c r="Y90" s="171">
        <f t="shared" si="62"/>
        <v>3.2638963485676041E-2</v>
      </c>
    </row>
    <row r="91" spans="1:25" x14ac:dyDescent="0.25">
      <c r="A91" s="57"/>
      <c r="B91" s="156" t="s">
        <v>51</v>
      </c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  <c r="N91" s="154"/>
      <c r="O91" s="154"/>
      <c r="P91" s="154"/>
      <c r="Q91" s="154"/>
      <c r="R91" s="154"/>
      <c r="S91" s="154"/>
      <c r="T91" s="154"/>
      <c r="U91" s="154"/>
      <c r="V91" s="154"/>
      <c r="W91" s="154"/>
      <c r="X91" s="154"/>
      <c r="Y91" s="154"/>
    </row>
    <row r="92" spans="1:25" x14ac:dyDescent="0.25">
      <c r="A92" s="57"/>
      <c r="B92" s="157" t="s">
        <v>70</v>
      </c>
      <c r="C92" s="177">
        <f t="shared" ref="C92:H92" si="66">C93+C96</f>
        <v>4061</v>
      </c>
      <c r="D92" s="177">
        <f t="shared" si="66"/>
        <v>0</v>
      </c>
      <c r="E92" s="177">
        <f t="shared" si="66"/>
        <v>1382</v>
      </c>
      <c r="F92" s="177">
        <f t="shared" si="66"/>
        <v>4009</v>
      </c>
      <c r="G92" s="177">
        <f t="shared" si="66"/>
        <v>3918</v>
      </c>
      <c r="H92" s="177">
        <f t="shared" si="66"/>
        <v>4494</v>
      </c>
      <c r="I92" s="178">
        <f>IFERROR(H92/G92-1,"-")</f>
        <v>0.14701378254211339</v>
      </c>
      <c r="J92" s="178">
        <f t="shared" ref="J92:J104" si="67">H92/H$8</f>
        <v>1.2055303099398576E-2</v>
      </c>
      <c r="K92" s="177">
        <f t="shared" ref="K92:P92" si="68">K93+K96</f>
        <v>8693</v>
      </c>
      <c r="L92" s="177">
        <f t="shared" si="68"/>
        <v>0</v>
      </c>
      <c r="M92" s="177">
        <f t="shared" si="68"/>
        <v>10845</v>
      </c>
      <c r="N92" s="177">
        <f t="shared" si="68"/>
        <v>26674</v>
      </c>
      <c r="O92" s="177">
        <f t="shared" si="68"/>
        <v>25280</v>
      </c>
      <c r="P92" s="177">
        <f t="shared" si="68"/>
        <v>23778</v>
      </c>
      <c r="Q92" s="178">
        <f>IFERROR(P92/O92-1,"-")</f>
        <v>-5.9414556962025356E-2</v>
      </c>
      <c r="R92" s="178">
        <f t="shared" ref="R92:R104" si="69">P92/P$8</f>
        <v>1.4115132897021505E-2</v>
      </c>
      <c r="S92" s="177">
        <f>S93+S96</f>
        <v>12754</v>
      </c>
      <c r="T92" s="177">
        <f>T93+T96</f>
        <v>24671</v>
      </c>
      <c r="U92" s="177">
        <f>U93+U96</f>
        <v>30683</v>
      </c>
      <c r="V92" s="177">
        <f>V93+V96</f>
        <v>29198</v>
      </c>
      <c r="W92" s="177">
        <f>W93+W96</f>
        <v>28272</v>
      </c>
      <c r="X92" s="178">
        <f>IFERROR(W92/V92-1,"-")</f>
        <v>-3.1714500993218708E-2</v>
      </c>
      <c r="Y92" s="178">
        <f>W92/W$8</f>
        <v>1.3741902839419702E-2</v>
      </c>
    </row>
    <row r="93" spans="1:25" x14ac:dyDescent="0.25">
      <c r="A93" s="57"/>
      <c r="B93" s="160" t="s">
        <v>99</v>
      </c>
      <c r="C93" s="161">
        <v>2731</v>
      </c>
      <c r="D93" s="161">
        <v>0</v>
      </c>
      <c r="E93" s="161">
        <v>1140</v>
      </c>
      <c r="F93" s="161">
        <v>2733</v>
      </c>
      <c r="G93" s="161">
        <v>2789</v>
      </c>
      <c r="H93" s="161">
        <v>3156</v>
      </c>
      <c r="I93" s="162">
        <f>IFERROR(H93/G93-1,"-")</f>
        <v>0.13158838293295094</v>
      </c>
      <c r="J93" s="162">
        <f t="shared" si="67"/>
        <v>8.46607400571916E-3</v>
      </c>
      <c r="K93" s="161">
        <v>4723</v>
      </c>
      <c r="L93" s="161">
        <v>0</v>
      </c>
      <c r="M93" s="161">
        <v>7540</v>
      </c>
      <c r="N93" s="161">
        <v>17187</v>
      </c>
      <c r="O93" s="161">
        <v>14107</v>
      </c>
      <c r="P93" s="161">
        <v>13488</v>
      </c>
      <c r="Q93" s="162">
        <f>IFERROR(P93/O93-1,"-")</f>
        <v>-4.3878925356206189E-2</v>
      </c>
      <c r="R93" s="162">
        <f t="shared" si="69"/>
        <v>8.0067672855171183E-3</v>
      </c>
      <c r="S93" s="161">
        <v>7454</v>
      </c>
      <c r="T93" s="161">
        <v>15383</v>
      </c>
      <c r="U93" s="161">
        <v>19920</v>
      </c>
      <c r="V93" s="161">
        <v>16896</v>
      </c>
      <c r="W93" s="161">
        <v>16644</v>
      </c>
      <c r="X93" s="162">
        <f>IFERROR(W93/V93-1,"-")</f>
        <v>-1.4914772727272707E-2</v>
      </c>
      <c r="Y93" s="162">
        <f>W93/W$8</f>
        <v>8.0899911877228888E-3</v>
      </c>
    </row>
    <row r="94" spans="1:25" x14ac:dyDescent="0.25">
      <c r="A94" s="57"/>
      <c r="B94" s="164" t="s">
        <v>105</v>
      </c>
      <c r="C94" s="165">
        <v>2063</v>
      </c>
      <c r="D94" s="165">
        <v>0</v>
      </c>
      <c r="E94" s="165">
        <v>865</v>
      </c>
      <c r="F94" s="165">
        <v>1913</v>
      </c>
      <c r="G94" s="165">
        <v>1926</v>
      </c>
      <c r="H94" s="165">
        <v>2281</v>
      </c>
      <c r="I94" s="166">
        <f>IFERROR(H94/G94-1,"-")</f>
        <v>0.18431983385254402</v>
      </c>
      <c r="J94" s="166">
        <f t="shared" si="67"/>
        <v>6.118857670166478E-3</v>
      </c>
      <c r="K94" s="165">
        <v>2176</v>
      </c>
      <c r="L94" s="165">
        <v>0</v>
      </c>
      <c r="M94" s="165">
        <v>3401</v>
      </c>
      <c r="N94" s="165">
        <v>4042</v>
      </c>
      <c r="O94" s="165">
        <v>2738</v>
      </c>
      <c r="P94" s="165">
        <v>3113</v>
      </c>
      <c r="Q94" s="166">
        <f>IFERROR(P94/O94-1,"-")</f>
        <v>0.13696128560993426</v>
      </c>
      <c r="R94" s="166">
        <f t="shared" si="69"/>
        <v>1.8479438434026386E-3</v>
      </c>
      <c r="S94" s="165">
        <v>4239</v>
      </c>
      <c r="T94" s="165">
        <v>7500</v>
      </c>
      <c r="U94" s="165">
        <v>5955</v>
      </c>
      <c r="V94" s="165">
        <v>4664</v>
      </c>
      <c r="W94" s="165">
        <v>5394</v>
      </c>
      <c r="X94" s="166">
        <f>IFERROR(W94/V94-1,"-")</f>
        <v>0.15651801029159529</v>
      </c>
      <c r="Y94" s="166">
        <f>W94/W$8</f>
        <v>2.6218104101524433E-3</v>
      </c>
    </row>
    <row r="95" spans="1:25" x14ac:dyDescent="0.25">
      <c r="A95" s="57"/>
      <c r="B95" s="164" t="s">
        <v>102</v>
      </c>
      <c r="C95" s="165">
        <v>668</v>
      </c>
      <c r="D95" s="165">
        <v>0</v>
      </c>
      <c r="E95" s="165">
        <v>275</v>
      </c>
      <c r="F95" s="165">
        <v>820</v>
      </c>
      <c r="G95" s="165">
        <v>863</v>
      </c>
      <c r="H95" s="165">
        <v>875</v>
      </c>
      <c r="I95" s="166">
        <f>IFERROR(H95/G95-1,"-")</f>
        <v>1.3904982618771822E-2</v>
      </c>
      <c r="J95" s="166">
        <f t="shared" si="67"/>
        <v>2.3472163355526821E-3</v>
      </c>
      <c r="K95" s="165">
        <v>2547</v>
      </c>
      <c r="L95" s="165">
        <v>0</v>
      </c>
      <c r="M95" s="165">
        <v>4139</v>
      </c>
      <c r="N95" s="165">
        <v>13145</v>
      </c>
      <c r="O95" s="165">
        <v>11369</v>
      </c>
      <c r="P95" s="165">
        <v>10375</v>
      </c>
      <c r="Q95" s="166">
        <f>IFERROR(P95/O95-1,"-")</f>
        <v>-8.7430732694168345E-2</v>
      </c>
      <c r="R95" s="166">
        <f t="shared" si="69"/>
        <v>6.1588234421144803E-3</v>
      </c>
      <c r="S95" s="165">
        <v>3215</v>
      </c>
      <c r="T95" s="165">
        <v>7883</v>
      </c>
      <c r="U95" s="165">
        <v>13965</v>
      </c>
      <c r="V95" s="165">
        <v>12232</v>
      </c>
      <c r="W95" s="165">
        <v>11250</v>
      </c>
      <c r="X95" s="166">
        <f>IFERROR(W95/V95-1,"-")</f>
        <v>-8.0281229561805056E-2</v>
      </c>
      <c r="Y95" s="166">
        <f>W95/W$8</f>
        <v>5.468180777570446E-3</v>
      </c>
    </row>
    <row r="96" spans="1:25" x14ac:dyDescent="0.25">
      <c r="A96" s="57"/>
      <c r="B96" s="160" t="s">
        <v>109</v>
      </c>
      <c r="C96" s="161">
        <v>1330</v>
      </c>
      <c r="D96" s="161">
        <v>0</v>
      </c>
      <c r="E96" s="161">
        <v>242</v>
      </c>
      <c r="F96" s="161">
        <v>1276</v>
      </c>
      <c r="G96" s="161">
        <v>1129</v>
      </c>
      <c r="H96" s="161">
        <v>1338</v>
      </c>
      <c r="I96" s="162">
        <f>IFERROR(H96/G96-1,"-")</f>
        <v>0.18511957484499564</v>
      </c>
      <c r="J96" s="162">
        <f t="shared" si="67"/>
        <v>3.589229093679416E-3</v>
      </c>
      <c r="K96" s="161">
        <v>3970</v>
      </c>
      <c r="L96" s="161">
        <v>0</v>
      </c>
      <c r="M96" s="161">
        <v>3305</v>
      </c>
      <c r="N96" s="161">
        <v>9487</v>
      </c>
      <c r="O96" s="161">
        <v>11173</v>
      </c>
      <c r="P96" s="161">
        <v>10290</v>
      </c>
      <c r="Q96" s="162">
        <f>IFERROR(P96/O96-1,"-")</f>
        <v>-7.9029803991765846E-2</v>
      </c>
      <c r="R96" s="162">
        <f t="shared" si="69"/>
        <v>6.1083656115043855E-3</v>
      </c>
      <c r="S96" s="161">
        <v>5300</v>
      </c>
      <c r="T96" s="161">
        <v>9288</v>
      </c>
      <c r="U96" s="161">
        <v>10763</v>
      </c>
      <c r="V96" s="161">
        <v>12302</v>
      </c>
      <c r="W96" s="161">
        <v>11628</v>
      </c>
      <c r="X96" s="162">
        <f>IFERROR(W96/V96-1,"-")</f>
        <v>-5.47878393757113E-2</v>
      </c>
      <c r="Y96" s="162">
        <f>W96/W$8</f>
        <v>5.6519116516968127E-3</v>
      </c>
    </row>
    <row r="97" spans="1:25" s="57" customFormat="1" x14ac:dyDescent="0.25">
      <c r="B97" s="164" t="s">
        <v>112</v>
      </c>
      <c r="C97" s="165">
        <v>79</v>
      </c>
      <c r="D97" s="165">
        <v>0</v>
      </c>
      <c r="E97" s="165">
        <v>8</v>
      </c>
      <c r="F97" s="165">
        <v>65</v>
      </c>
      <c r="G97" s="165">
        <v>89</v>
      </c>
      <c r="H97" s="165">
        <v>76</v>
      </c>
      <c r="I97" s="166">
        <f t="shared" ref="I97:I104" si="70">IFERROR(H97/G97-1,"-")</f>
        <v>-0.1460674157303371</v>
      </c>
      <c r="J97" s="166">
        <f t="shared" si="67"/>
        <v>2.0387250457371868E-4</v>
      </c>
      <c r="K97" s="165">
        <v>915</v>
      </c>
      <c r="L97" s="165">
        <v>0</v>
      </c>
      <c r="M97" s="165">
        <v>384</v>
      </c>
      <c r="N97" s="165">
        <v>1496</v>
      </c>
      <c r="O97" s="165">
        <v>1756</v>
      </c>
      <c r="P97" s="165">
        <v>1476</v>
      </c>
      <c r="Q97" s="166">
        <f t="shared" ref="Q97:Q104" si="71">IFERROR(P97/O97-1,"-")</f>
        <v>-0.15945330296127558</v>
      </c>
      <c r="R97" s="166">
        <f t="shared" si="69"/>
        <v>8.7618538800587681E-4</v>
      </c>
      <c r="S97" s="165">
        <v>994</v>
      </c>
      <c r="T97" s="165">
        <v>1307</v>
      </c>
      <c r="U97" s="165">
        <v>1561</v>
      </c>
      <c r="V97" s="165">
        <v>1845</v>
      </c>
      <c r="W97" s="165">
        <v>1552</v>
      </c>
      <c r="X97" s="166">
        <f t="shared" ref="X97:X104" si="72">IFERROR(W97/V97-1,"-")</f>
        <v>-0.1588075880758808</v>
      </c>
      <c r="Y97" s="166">
        <f t="shared" ref="Y97:Y104" si="73">W97/W$8</f>
        <v>7.5436591704794063E-4</v>
      </c>
    </row>
    <row r="98" spans="1:25" s="57" customFormat="1" x14ac:dyDescent="0.25">
      <c r="B98" s="164" t="s">
        <v>115</v>
      </c>
      <c r="C98" s="165">
        <v>299</v>
      </c>
      <c r="D98" s="165">
        <v>0</v>
      </c>
      <c r="E98" s="165">
        <v>40</v>
      </c>
      <c r="F98" s="165">
        <v>157</v>
      </c>
      <c r="G98" s="165">
        <v>208</v>
      </c>
      <c r="H98" s="165">
        <v>185</v>
      </c>
      <c r="I98" s="166">
        <f t="shared" si="70"/>
        <v>-0.11057692307692313</v>
      </c>
      <c r="J98" s="166">
        <f t="shared" si="67"/>
        <v>4.9626859665970993E-4</v>
      </c>
      <c r="K98" s="165">
        <v>772</v>
      </c>
      <c r="L98" s="165">
        <v>0</v>
      </c>
      <c r="M98" s="165">
        <v>673</v>
      </c>
      <c r="N98" s="165">
        <v>1867</v>
      </c>
      <c r="O98" s="165">
        <v>2281</v>
      </c>
      <c r="P98" s="165">
        <v>1988</v>
      </c>
      <c r="Q98" s="166">
        <f t="shared" si="71"/>
        <v>-0.12845243314335819</v>
      </c>
      <c r="R98" s="166">
        <f t="shared" si="69"/>
        <v>1.1801196147396228E-3</v>
      </c>
      <c r="S98" s="165">
        <v>1071</v>
      </c>
      <c r="T98" s="165">
        <v>1843</v>
      </c>
      <c r="U98" s="165">
        <v>2024</v>
      </c>
      <c r="V98" s="165">
        <v>2489</v>
      </c>
      <c r="W98" s="165">
        <v>2173</v>
      </c>
      <c r="X98" s="166">
        <f t="shared" si="72"/>
        <v>-0.12695861791884289</v>
      </c>
      <c r="Y98" s="166">
        <f t="shared" si="73"/>
        <v>1.0562094959698292E-3</v>
      </c>
    </row>
    <row r="99" spans="1:25" x14ac:dyDescent="0.25">
      <c r="A99" s="57"/>
      <c r="B99" s="164" t="s">
        <v>118</v>
      </c>
      <c r="C99" s="165">
        <v>539</v>
      </c>
      <c r="D99" s="165">
        <v>0</v>
      </c>
      <c r="E99" s="165">
        <v>97</v>
      </c>
      <c r="F99" s="165">
        <v>526</v>
      </c>
      <c r="G99" s="165">
        <v>377</v>
      </c>
      <c r="H99" s="165">
        <v>452</v>
      </c>
      <c r="I99" s="166">
        <f t="shared" si="70"/>
        <v>0.19893899204244025</v>
      </c>
      <c r="J99" s="166">
        <f t="shared" si="67"/>
        <v>1.2125048956226428E-3</v>
      </c>
      <c r="K99" s="165">
        <v>622</v>
      </c>
      <c r="L99" s="165">
        <v>0</v>
      </c>
      <c r="M99" s="165">
        <v>586</v>
      </c>
      <c r="N99" s="165">
        <v>1591</v>
      </c>
      <c r="O99" s="165">
        <v>1705</v>
      </c>
      <c r="P99" s="165">
        <v>1578</v>
      </c>
      <c r="Q99" s="166">
        <f t="shared" si="71"/>
        <v>-7.4486803519061562E-2</v>
      </c>
      <c r="R99" s="166">
        <f t="shared" si="69"/>
        <v>9.3673478473799024E-4</v>
      </c>
      <c r="S99" s="165">
        <v>1161</v>
      </c>
      <c r="T99" s="165">
        <v>1779</v>
      </c>
      <c r="U99" s="165">
        <v>2117</v>
      </c>
      <c r="V99" s="165">
        <v>2082</v>
      </c>
      <c r="W99" s="165">
        <v>2030</v>
      </c>
      <c r="X99" s="166">
        <f t="shared" si="72"/>
        <v>-2.4975984630163262E-2</v>
      </c>
      <c r="Y99" s="166">
        <f t="shared" si="73"/>
        <v>9.8670284253048928E-4</v>
      </c>
    </row>
    <row r="100" spans="1:25" x14ac:dyDescent="0.25">
      <c r="A100" s="57"/>
      <c r="B100" s="164" t="s">
        <v>125</v>
      </c>
      <c r="C100" s="165">
        <v>55</v>
      </c>
      <c r="D100" s="165">
        <v>0</v>
      </c>
      <c r="E100" s="165">
        <v>9</v>
      </c>
      <c r="F100" s="165">
        <v>17</v>
      </c>
      <c r="G100" s="165">
        <v>55</v>
      </c>
      <c r="H100" s="165">
        <v>43</v>
      </c>
      <c r="I100" s="166">
        <f t="shared" si="70"/>
        <v>-0.21818181818181814</v>
      </c>
      <c r="J100" s="166">
        <f t="shared" si="67"/>
        <v>1.153489170614461E-4</v>
      </c>
      <c r="K100" s="165">
        <v>210</v>
      </c>
      <c r="L100" s="165">
        <v>0</v>
      </c>
      <c r="M100" s="165">
        <v>261</v>
      </c>
      <c r="N100" s="165">
        <v>514</v>
      </c>
      <c r="O100" s="165">
        <v>543</v>
      </c>
      <c r="P100" s="165">
        <v>533</v>
      </c>
      <c r="Q100" s="166">
        <f t="shared" si="71"/>
        <v>-1.8416206261510082E-2</v>
      </c>
      <c r="R100" s="166">
        <f t="shared" si="69"/>
        <v>3.1640027900212218E-4</v>
      </c>
      <c r="S100" s="165">
        <v>265</v>
      </c>
      <c r="T100" s="165">
        <v>672</v>
      </c>
      <c r="U100" s="165">
        <v>531</v>
      </c>
      <c r="V100" s="165">
        <v>598</v>
      </c>
      <c r="W100" s="165">
        <v>576</v>
      </c>
      <c r="X100" s="166">
        <f t="shared" si="72"/>
        <v>-3.6789297658862852E-2</v>
      </c>
      <c r="Y100" s="166">
        <f t="shared" si="73"/>
        <v>2.7997085581160685E-4</v>
      </c>
    </row>
    <row r="101" spans="1:25" x14ac:dyDescent="0.25">
      <c r="A101" s="57"/>
      <c r="B101" s="164" t="s">
        <v>121</v>
      </c>
      <c r="C101" s="165">
        <v>30</v>
      </c>
      <c r="D101" s="165">
        <v>0</v>
      </c>
      <c r="E101" s="165">
        <v>0</v>
      </c>
      <c r="F101" s="165">
        <v>59</v>
      </c>
      <c r="G101" s="165">
        <v>29</v>
      </c>
      <c r="H101" s="165">
        <v>41</v>
      </c>
      <c r="I101" s="166">
        <f t="shared" si="70"/>
        <v>0.4137931034482758</v>
      </c>
      <c r="J101" s="166">
        <f t="shared" si="67"/>
        <v>1.099838511516114E-4</v>
      </c>
      <c r="K101" s="165">
        <v>102</v>
      </c>
      <c r="L101" s="165">
        <v>0</v>
      </c>
      <c r="M101" s="165">
        <v>123</v>
      </c>
      <c r="N101" s="165">
        <v>234</v>
      </c>
      <c r="O101" s="165">
        <v>485</v>
      </c>
      <c r="P101" s="165">
        <v>443</v>
      </c>
      <c r="Q101" s="166">
        <f t="shared" si="71"/>
        <v>-8.6597938144329922E-2</v>
      </c>
      <c r="R101" s="166">
        <f t="shared" si="69"/>
        <v>2.6297434070908092E-4</v>
      </c>
      <c r="S101" s="165">
        <v>132</v>
      </c>
      <c r="T101" s="165">
        <v>373</v>
      </c>
      <c r="U101" s="165">
        <v>293</v>
      </c>
      <c r="V101" s="165">
        <v>514</v>
      </c>
      <c r="W101" s="165">
        <v>484</v>
      </c>
      <c r="X101" s="166">
        <f t="shared" si="72"/>
        <v>-5.8365758754863828E-2</v>
      </c>
      <c r="Y101" s="166">
        <f t="shared" si="73"/>
        <v>2.3525328856391963E-4</v>
      </c>
    </row>
    <row r="102" spans="1:25" x14ac:dyDescent="0.25">
      <c r="A102" s="57"/>
      <c r="B102" s="164" t="s">
        <v>130</v>
      </c>
      <c r="C102" s="165">
        <v>22</v>
      </c>
      <c r="D102" s="165">
        <v>0</v>
      </c>
      <c r="E102" s="165">
        <v>0</v>
      </c>
      <c r="F102" s="165">
        <v>6</v>
      </c>
      <c r="G102" s="165">
        <v>14</v>
      </c>
      <c r="H102" s="165">
        <v>12</v>
      </c>
      <c r="I102" s="166">
        <f t="shared" si="70"/>
        <v>-0.1428571428571429</v>
      </c>
      <c r="J102" s="166">
        <f t="shared" si="67"/>
        <v>3.2190395459008214E-5</v>
      </c>
      <c r="K102" s="165">
        <v>90</v>
      </c>
      <c r="L102" s="165">
        <v>0</v>
      </c>
      <c r="M102" s="165">
        <v>23</v>
      </c>
      <c r="N102" s="165">
        <v>81</v>
      </c>
      <c r="O102" s="165">
        <v>137</v>
      </c>
      <c r="P102" s="165">
        <v>116</v>
      </c>
      <c r="Q102" s="166">
        <f t="shared" si="71"/>
        <v>-0.15328467153284675</v>
      </c>
      <c r="R102" s="166">
        <f t="shared" si="69"/>
        <v>6.8860098244364305E-5</v>
      </c>
      <c r="S102" s="165">
        <v>112</v>
      </c>
      <c r="T102" s="165">
        <v>182</v>
      </c>
      <c r="U102" s="165">
        <v>87</v>
      </c>
      <c r="V102" s="165">
        <v>151</v>
      </c>
      <c r="W102" s="165">
        <v>128</v>
      </c>
      <c r="X102" s="166">
        <f t="shared" si="72"/>
        <v>-0.15231788079470199</v>
      </c>
      <c r="Y102" s="166">
        <f t="shared" si="73"/>
        <v>6.2215745735912624E-5</v>
      </c>
    </row>
    <row r="103" spans="1:25" x14ac:dyDescent="0.25">
      <c r="A103" s="57"/>
      <c r="B103" s="164" t="s">
        <v>133</v>
      </c>
      <c r="C103" s="165">
        <v>0</v>
      </c>
      <c r="D103" s="165">
        <v>0</v>
      </c>
      <c r="E103" s="165">
        <v>0</v>
      </c>
      <c r="F103" s="165">
        <v>0</v>
      </c>
      <c r="G103" s="165">
        <v>11</v>
      </c>
      <c r="H103" s="165">
        <v>8</v>
      </c>
      <c r="I103" s="166">
        <f t="shared" si="70"/>
        <v>-0.27272727272727271</v>
      </c>
      <c r="J103" s="166">
        <f t="shared" si="67"/>
        <v>2.1460263639338809E-5</v>
      </c>
      <c r="K103" s="165">
        <v>61</v>
      </c>
      <c r="L103" s="165">
        <v>0</v>
      </c>
      <c r="M103" s="165">
        <v>30</v>
      </c>
      <c r="N103" s="165">
        <v>155</v>
      </c>
      <c r="O103" s="165">
        <v>254</v>
      </c>
      <c r="P103" s="165">
        <v>135</v>
      </c>
      <c r="Q103" s="166">
        <f t="shared" si="71"/>
        <v>-0.46850393700787396</v>
      </c>
      <c r="R103" s="166">
        <f t="shared" si="69"/>
        <v>8.0138907439561912E-5</v>
      </c>
      <c r="S103" s="165">
        <v>61</v>
      </c>
      <c r="T103" s="165">
        <v>99</v>
      </c>
      <c r="U103" s="165">
        <v>155</v>
      </c>
      <c r="V103" s="165">
        <v>265</v>
      </c>
      <c r="W103" s="165">
        <v>143</v>
      </c>
      <c r="X103" s="166">
        <f t="shared" si="72"/>
        <v>-0.46037735849056605</v>
      </c>
      <c r="Y103" s="166">
        <f t="shared" si="73"/>
        <v>6.9506653439339891E-5</v>
      </c>
    </row>
    <row r="104" spans="1:25" x14ac:dyDescent="0.25">
      <c r="A104" s="57"/>
      <c r="B104" s="169" t="s">
        <v>147</v>
      </c>
      <c r="C104" s="170">
        <f t="shared" ref="C104" si="74">C96-SUM(C97:C103)</f>
        <v>306</v>
      </c>
      <c r="D104" s="170">
        <f t="shared" ref="D104:H104" si="75">D96-SUM(D97:D103)</f>
        <v>0</v>
      </c>
      <c r="E104" s="170">
        <f t="shared" si="75"/>
        <v>88</v>
      </c>
      <c r="F104" s="170">
        <f t="shared" si="75"/>
        <v>446</v>
      </c>
      <c r="G104" s="170">
        <f t="shared" si="75"/>
        <v>346</v>
      </c>
      <c r="H104" s="170">
        <f t="shared" si="75"/>
        <v>521</v>
      </c>
      <c r="I104" s="171">
        <f t="shared" si="70"/>
        <v>0.5057803468208093</v>
      </c>
      <c r="J104" s="171">
        <f t="shared" si="67"/>
        <v>1.39759966951194E-3</v>
      </c>
      <c r="K104" s="170">
        <f t="shared" ref="K104:P104" si="76">K96-SUM(K97:K103)</f>
        <v>1198</v>
      </c>
      <c r="L104" s="170">
        <f t="shared" si="76"/>
        <v>0</v>
      </c>
      <c r="M104" s="170">
        <f t="shared" si="76"/>
        <v>1225</v>
      </c>
      <c r="N104" s="170">
        <f t="shared" si="76"/>
        <v>3549</v>
      </c>
      <c r="O104" s="170">
        <f t="shared" si="76"/>
        <v>4012</v>
      </c>
      <c r="P104" s="170">
        <f t="shared" si="76"/>
        <v>4021</v>
      </c>
      <c r="Q104" s="171">
        <f t="shared" si="71"/>
        <v>2.243270189431712E-3</v>
      </c>
      <c r="R104" s="171">
        <f t="shared" si="69"/>
        <v>2.3869521986257664E-3</v>
      </c>
      <c r="S104" s="170">
        <f>S96-SUM(S97:S103)</f>
        <v>1504</v>
      </c>
      <c r="T104" s="170">
        <f>T96-SUM(T97:T103)</f>
        <v>3033</v>
      </c>
      <c r="U104" s="170">
        <f>U96-SUM(U97:U103)</f>
        <v>3995</v>
      </c>
      <c r="V104" s="170">
        <f>V96-SUM(V97:V103)</f>
        <v>4358</v>
      </c>
      <c r="W104" s="170">
        <f>W96-SUM(W97:W103)</f>
        <v>4542</v>
      </c>
      <c r="X104" s="171">
        <f t="shared" si="72"/>
        <v>4.222120238641569E-2</v>
      </c>
      <c r="Y104" s="171">
        <f t="shared" si="73"/>
        <v>2.2076868525977749E-3</v>
      </c>
    </row>
    <row r="105" spans="1:25" x14ac:dyDescent="0.25">
      <c r="A105" s="57"/>
      <c r="B105" s="156" t="s">
        <v>52</v>
      </c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  <c r="N105" s="154"/>
      <c r="O105" s="154"/>
      <c r="P105" s="154"/>
      <c r="Q105" s="154"/>
      <c r="R105" s="154"/>
      <c r="S105" s="154"/>
      <c r="T105" s="154"/>
      <c r="U105" s="154"/>
      <c r="V105" s="154"/>
      <c r="W105" s="154"/>
      <c r="X105" s="154"/>
      <c r="Y105" s="154"/>
    </row>
    <row r="106" spans="1:25" x14ac:dyDescent="0.25">
      <c r="A106" s="57"/>
      <c r="B106" s="157" t="s">
        <v>70</v>
      </c>
      <c r="C106" s="177">
        <f t="shared" ref="C106:H106" si="77">C107+C110</f>
        <v>0</v>
      </c>
      <c r="D106" s="177">
        <f t="shared" si="77"/>
        <v>0</v>
      </c>
      <c r="E106" s="177">
        <f t="shared" si="77"/>
        <v>0</v>
      </c>
      <c r="F106" s="177">
        <f t="shared" si="77"/>
        <v>0</v>
      </c>
      <c r="G106" s="177">
        <f t="shared" si="77"/>
        <v>0</v>
      </c>
      <c r="H106" s="177">
        <f t="shared" si="77"/>
        <v>0</v>
      </c>
      <c r="I106" s="178" t="str">
        <f>IFERROR(H106/G106-1,"-")</f>
        <v>-</v>
      </c>
      <c r="J106" s="178">
        <f t="shared" ref="J106:J118" si="78">H106/H$8</f>
        <v>0</v>
      </c>
      <c r="K106" s="177">
        <f t="shared" ref="K106:P106" si="79">K107+K110</f>
        <v>22627</v>
      </c>
      <c r="L106" s="177">
        <f t="shared" si="79"/>
        <v>0</v>
      </c>
      <c r="M106" s="177">
        <f t="shared" si="79"/>
        <v>0</v>
      </c>
      <c r="N106" s="177">
        <f t="shared" si="79"/>
        <v>0</v>
      </c>
      <c r="O106" s="177">
        <f t="shared" si="79"/>
        <v>0</v>
      </c>
      <c r="P106" s="177">
        <f t="shared" si="79"/>
        <v>0</v>
      </c>
      <c r="Q106" s="178" t="str">
        <f>IFERROR(P106/O106-1,"-")</f>
        <v>-</v>
      </c>
      <c r="R106" s="178">
        <f t="shared" ref="R106:R118" si="80">P106/P$8</f>
        <v>0</v>
      </c>
      <c r="S106" s="177">
        <f>S107+S110</f>
        <v>22627</v>
      </c>
      <c r="T106" s="177">
        <f>T107+T110</f>
        <v>79606</v>
      </c>
      <c r="U106" s="177">
        <f>U107+U110</f>
        <v>111862</v>
      </c>
      <c r="V106" s="177">
        <f>V107+V110</f>
        <v>103725</v>
      </c>
      <c r="W106" s="177">
        <f>W107+W110</f>
        <v>112596</v>
      </c>
      <c r="X106" s="178">
        <f>IFERROR(W106/V106-1,"-")</f>
        <v>8.5524222704266073E-2</v>
      </c>
      <c r="Y106" s="178">
        <f>W106/W$8</f>
        <v>5.4728469585006392E-2</v>
      </c>
    </row>
    <row r="107" spans="1:25" x14ac:dyDescent="0.25">
      <c r="A107" s="57"/>
      <c r="B107" s="160" t="s">
        <v>99</v>
      </c>
      <c r="C107" s="161">
        <v>0</v>
      </c>
      <c r="D107" s="161">
        <v>0</v>
      </c>
      <c r="E107" s="161">
        <v>0</v>
      </c>
      <c r="F107" s="161">
        <v>0</v>
      </c>
      <c r="G107" s="161">
        <v>0</v>
      </c>
      <c r="H107" s="161">
        <v>0</v>
      </c>
      <c r="I107" s="162" t="str">
        <f>IFERROR(H107/G107-1,"-")</f>
        <v>-</v>
      </c>
      <c r="J107" s="162">
        <f t="shared" si="78"/>
        <v>0</v>
      </c>
      <c r="K107" s="161">
        <v>5441</v>
      </c>
      <c r="L107" s="161">
        <v>0</v>
      </c>
      <c r="M107" s="161">
        <v>0</v>
      </c>
      <c r="N107" s="161">
        <v>0</v>
      </c>
      <c r="O107" s="161">
        <v>0</v>
      </c>
      <c r="P107" s="161">
        <v>0</v>
      </c>
      <c r="Q107" s="162" t="str">
        <f>IFERROR(P107/O107-1,"-")</f>
        <v>-</v>
      </c>
      <c r="R107" s="162">
        <f t="shared" si="80"/>
        <v>0</v>
      </c>
      <c r="S107" s="161">
        <v>5441</v>
      </c>
      <c r="T107" s="161">
        <v>16402</v>
      </c>
      <c r="U107" s="161">
        <v>21854</v>
      </c>
      <c r="V107" s="161">
        <v>20614</v>
      </c>
      <c r="W107" s="161">
        <v>22311</v>
      </c>
      <c r="X107" s="162">
        <f>IFERROR(W107/V107-1,"-")</f>
        <v>8.2322693315222573E-2</v>
      </c>
      <c r="Y107" s="162">
        <f>W107/W$8</f>
        <v>1.0844496118077708E-2</v>
      </c>
    </row>
    <row r="108" spans="1:25" x14ac:dyDescent="0.25">
      <c r="A108" s="57"/>
      <c r="B108" s="164" t="s">
        <v>105</v>
      </c>
      <c r="C108" s="165">
        <v>0</v>
      </c>
      <c r="D108" s="165">
        <v>0</v>
      </c>
      <c r="E108" s="165">
        <v>0</v>
      </c>
      <c r="F108" s="165">
        <v>0</v>
      </c>
      <c r="G108" s="165">
        <v>0</v>
      </c>
      <c r="H108" s="165">
        <v>0</v>
      </c>
      <c r="I108" s="166" t="str">
        <f>IFERROR(H108/G108-1,"-")</f>
        <v>-</v>
      </c>
      <c r="J108" s="166">
        <f t="shared" si="78"/>
        <v>0</v>
      </c>
      <c r="K108" s="165">
        <v>273</v>
      </c>
      <c r="L108" s="165">
        <v>0</v>
      </c>
      <c r="M108" s="165">
        <v>0</v>
      </c>
      <c r="N108" s="165">
        <v>0</v>
      </c>
      <c r="O108" s="165">
        <v>0</v>
      </c>
      <c r="P108" s="165">
        <v>0</v>
      </c>
      <c r="Q108" s="166" t="str">
        <f>IFERROR(P108/O108-1,"-")</f>
        <v>-</v>
      </c>
      <c r="R108" s="166">
        <f t="shared" si="80"/>
        <v>0</v>
      </c>
      <c r="S108" s="165">
        <v>273</v>
      </c>
      <c r="T108" s="165">
        <v>5588</v>
      </c>
      <c r="U108" s="165">
        <v>8088</v>
      </c>
      <c r="V108" s="165">
        <v>5528</v>
      </c>
      <c r="W108" s="165">
        <v>6995</v>
      </c>
      <c r="X108" s="166">
        <f>IFERROR(W108/V108-1,"-")</f>
        <v>0.26537626628075262</v>
      </c>
      <c r="Y108" s="166">
        <f>W108/W$8</f>
        <v>3.3999932923649127E-3</v>
      </c>
    </row>
    <row r="109" spans="1:25" x14ac:dyDescent="0.25">
      <c r="A109" s="57"/>
      <c r="B109" s="164" t="s">
        <v>102</v>
      </c>
      <c r="C109" s="165">
        <v>0</v>
      </c>
      <c r="D109" s="165">
        <v>0</v>
      </c>
      <c r="E109" s="165">
        <v>0</v>
      </c>
      <c r="F109" s="165">
        <v>0</v>
      </c>
      <c r="G109" s="165">
        <v>0</v>
      </c>
      <c r="H109" s="165">
        <v>0</v>
      </c>
      <c r="I109" s="166" t="str">
        <f>IFERROR(H109/G109-1,"-")</f>
        <v>-</v>
      </c>
      <c r="J109" s="166">
        <f t="shared" si="78"/>
        <v>0</v>
      </c>
      <c r="K109" s="165">
        <v>5168</v>
      </c>
      <c r="L109" s="165">
        <v>0</v>
      </c>
      <c r="M109" s="165">
        <v>0</v>
      </c>
      <c r="N109" s="165">
        <v>0</v>
      </c>
      <c r="O109" s="165">
        <v>0</v>
      </c>
      <c r="P109" s="165">
        <v>0</v>
      </c>
      <c r="Q109" s="166" t="str">
        <f>IFERROR(P109/O109-1,"-")</f>
        <v>-</v>
      </c>
      <c r="R109" s="166">
        <f t="shared" si="80"/>
        <v>0</v>
      </c>
      <c r="S109" s="165">
        <v>5168</v>
      </c>
      <c r="T109" s="165">
        <v>10814</v>
      </c>
      <c r="U109" s="165">
        <v>13766</v>
      </c>
      <c r="V109" s="165">
        <v>15086</v>
      </c>
      <c r="W109" s="165">
        <v>15316</v>
      </c>
      <c r="X109" s="166">
        <f>IFERROR(W109/V109-1,"-")</f>
        <v>1.5245923372663395E-2</v>
      </c>
      <c r="Y109" s="166">
        <f>W109/W$8</f>
        <v>7.4445028257127954E-3</v>
      </c>
    </row>
    <row r="110" spans="1:25" x14ac:dyDescent="0.25">
      <c r="A110" s="57"/>
      <c r="B110" s="160" t="s">
        <v>109</v>
      </c>
      <c r="C110" s="161">
        <v>0</v>
      </c>
      <c r="D110" s="161">
        <v>0</v>
      </c>
      <c r="E110" s="161">
        <v>0</v>
      </c>
      <c r="F110" s="161">
        <v>0</v>
      </c>
      <c r="G110" s="161">
        <v>0</v>
      </c>
      <c r="H110" s="161">
        <v>0</v>
      </c>
      <c r="I110" s="162" t="str">
        <f>IFERROR(H110/G110-1,"-")</f>
        <v>-</v>
      </c>
      <c r="J110" s="162">
        <f t="shared" si="78"/>
        <v>0</v>
      </c>
      <c r="K110" s="161">
        <v>17186</v>
      </c>
      <c r="L110" s="161">
        <v>0</v>
      </c>
      <c r="M110" s="161">
        <v>0</v>
      </c>
      <c r="N110" s="161">
        <v>0</v>
      </c>
      <c r="O110" s="161">
        <v>0</v>
      </c>
      <c r="P110" s="161">
        <v>0</v>
      </c>
      <c r="Q110" s="162" t="str">
        <f>IFERROR(P110/O110-1,"-")</f>
        <v>-</v>
      </c>
      <c r="R110" s="162">
        <f t="shared" si="80"/>
        <v>0</v>
      </c>
      <c r="S110" s="161">
        <v>17186</v>
      </c>
      <c r="T110" s="161">
        <v>63204</v>
      </c>
      <c r="U110" s="161">
        <v>90008</v>
      </c>
      <c r="V110" s="161">
        <v>83111</v>
      </c>
      <c r="W110" s="161">
        <v>90285</v>
      </c>
      <c r="X110" s="162">
        <f>IFERROR(W110/V110-1,"-")</f>
        <v>8.6318297216974926E-2</v>
      </c>
      <c r="Y110" s="162">
        <f>W110/W$8</f>
        <v>4.3883973466928683E-2</v>
      </c>
    </row>
    <row r="111" spans="1:25" s="57" customFormat="1" x14ac:dyDescent="0.25">
      <c r="B111" s="164" t="s">
        <v>112</v>
      </c>
      <c r="C111" s="165">
        <v>0</v>
      </c>
      <c r="D111" s="165">
        <v>0</v>
      </c>
      <c r="E111" s="165">
        <v>0</v>
      </c>
      <c r="F111" s="165">
        <v>0</v>
      </c>
      <c r="G111" s="165">
        <v>0</v>
      </c>
      <c r="H111" s="165">
        <v>0</v>
      </c>
      <c r="I111" s="166" t="str">
        <f t="shared" ref="I111:I118" si="81">IFERROR(H111/G111-1,"-")</f>
        <v>-</v>
      </c>
      <c r="J111" s="166">
        <f t="shared" si="78"/>
        <v>0</v>
      </c>
      <c r="K111" s="165">
        <v>9701</v>
      </c>
      <c r="L111" s="165">
        <v>0</v>
      </c>
      <c r="M111" s="165">
        <v>0</v>
      </c>
      <c r="N111" s="165">
        <v>0</v>
      </c>
      <c r="O111" s="165">
        <v>0</v>
      </c>
      <c r="P111" s="165">
        <v>0</v>
      </c>
      <c r="Q111" s="166" t="str">
        <f t="shared" ref="Q111:Q118" si="82">IFERROR(P111/O111-1,"-")</f>
        <v>-</v>
      </c>
      <c r="R111" s="166">
        <f t="shared" si="80"/>
        <v>0</v>
      </c>
      <c r="S111" s="165">
        <v>9701</v>
      </c>
      <c r="T111" s="165">
        <v>36083</v>
      </c>
      <c r="U111" s="165">
        <v>58680</v>
      </c>
      <c r="V111" s="165">
        <v>50875</v>
      </c>
      <c r="W111" s="165">
        <v>53064</v>
      </c>
      <c r="X111" s="166">
        <f t="shared" ref="X111:X118" si="83">IFERROR(W111/V111-1,"-")</f>
        <v>4.3027027027026987E-2</v>
      </c>
      <c r="Y111" s="166">
        <f t="shared" ref="Y111:Y118" si="84">W111/W$8</f>
        <v>2.5792315091644279E-2</v>
      </c>
    </row>
    <row r="112" spans="1:25" s="57" customFormat="1" x14ac:dyDescent="0.25">
      <c r="B112" s="164" t="s">
        <v>115</v>
      </c>
      <c r="C112" s="165">
        <v>0</v>
      </c>
      <c r="D112" s="165">
        <v>0</v>
      </c>
      <c r="E112" s="165">
        <v>0</v>
      </c>
      <c r="F112" s="165">
        <v>0</v>
      </c>
      <c r="G112" s="165">
        <v>0</v>
      </c>
      <c r="H112" s="165">
        <v>0</v>
      </c>
      <c r="I112" s="166" t="str">
        <f t="shared" si="81"/>
        <v>-</v>
      </c>
      <c r="J112" s="166">
        <f t="shared" si="78"/>
        <v>0</v>
      </c>
      <c r="K112" s="165">
        <v>1353</v>
      </c>
      <c r="L112" s="165">
        <v>0</v>
      </c>
      <c r="M112" s="165">
        <v>0</v>
      </c>
      <c r="N112" s="165">
        <v>0</v>
      </c>
      <c r="O112" s="165">
        <v>0</v>
      </c>
      <c r="P112" s="165">
        <v>0</v>
      </c>
      <c r="Q112" s="166" t="str">
        <f t="shared" si="82"/>
        <v>-</v>
      </c>
      <c r="R112" s="166">
        <f t="shared" si="80"/>
        <v>0</v>
      </c>
      <c r="S112" s="165">
        <v>1353</v>
      </c>
      <c r="T112" s="165">
        <v>3239</v>
      </c>
      <c r="U112" s="165">
        <v>4324</v>
      </c>
      <c r="V112" s="165">
        <v>3803</v>
      </c>
      <c r="W112" s="165">
        <v>4507</v>
      </c>
      <c r="X112" s="166">
        <f t="shared" si="83"/>
        <v>0.18511701288456472</v>
      </c>
      <c r="Y112" s="166">
        <f t="shared" si="84"/>
        <v>2.1906747346231111E-3</v>
      </c>
    </row>
    <row r="113" spans="1:25" x14ac:dyDescent="0.25">
      <c r="A113" s="57"/>
      <c r="B113" s="164" t="s">
        <v>118</v>
      </c>
      <c r="C113" s="165">
        <v>0</v>
      </c>
      <c r="D113" s="165">
        <v>0</v>
      </c>
      <c r="E113" s="165">
        <v>0</v>
      </c>
      <c r="F113" s="165">
        <v>0</v>
      </c>
      <c r="G113" s="165">
        <v>0</v>
      </c>
      <c r="H113" s="165">
        <v>0</v>
      </c>
      <c r="I113" s="166" t="str">
        <f t="shared" si="81"/>
        <v>-</v>
      </c>
      <c r="J113" s="166">
        <f t="shared" si="78"/>
        <v>0</v>
      </c>
      <c r="K113" s="165">
        <v>895</v>
      </c>
      <c r="L113" s="165">
        <v>0</v>
      </c>
      <c r="M113" s="165">
        <v>0</v>
      </c>
      <c r="N113" s="165">
        <v>0</v>
      </c>
      <c r="O113" s="165">
        <v>0</v>
      </c>
      <c r="P113" s="165">
        <v>0</v>
      </c>
      <c r="Q113" s="166" t="str">
        <f t="shared" si="82"/>
        <v>-</v>
      </c>
      <c r="R113" s="166">
        <f t="shared" si="80"/>
        <v>0</v>
      </c>
      <c r="S113" s="165">
        <v>895</v>
      </c>
      <c r="T113" s="165">
        <v>4047</v>
      </c>
      <c r="U113" s="165">
        <v>7774</v>
      </c>
      <c r="V113" s="165">
        <v>5668</v>
      </c>
      <c r="W113" s="165">
        <v>7265</v>
      </c>
      <c r="X113" s="166">
        <f t="shared" si="83"/>
        <v>0.28175723359209592</v>
      </c>
      <c r="Y113" s="166">
        <f t="shared" si="84"/>
        <v>3.5312296310266037E-3</v>
      </c>
    </row>
    <row r="114" spans="1:25" x14ac:dyDescent="0.25">
      <c r="A114" s="57"/>
      <c r="B114" s="164" t="s">
        <v>125</v>
      </c>
      <c r="C114" s="165">
        <v>0</v>
      </c>
      <c r="D114" s="165">
        <v>0</v>
      </c>
      <c r="E114" s="165">
        <v>0</v>
      </c>
      <c r="F114" s="165">
        <v>0</v>
      </c>
      <c r="G114" s="165">
        <v>0</v>
      </c>
      <c r="H114" s="165">
        <v>0</v>
      </c>
      <c r="I114" s="166" t="str">
        <f t="shared" si="81"/>
        <v>-</v>
      </c>
      <c r="J114" s="166">
        <f t="shared" si="78"/>
        <v>0</v>
      </c>
      <c r="K114" s="165">
        <v>429</v>
      </c>
      <c r="L114" s="165">
        <v>0</v>
      </c>
      <c r="M114" s="165">
        <v>0</v>
      </c>
      <c r="N114" s="165">
        <v>0</v>
      </c>
      <c r="O114" s="165">
        <v>0</v>
      </c>
      <c r="P114" s="165">
        <v>0</v>
      </c>
      <c r="Q114" s="166" t="str">
        <f t="shared" si="82"/>
        <v>-</v>
      </c>
      <c r="R114" s="166">
        <f t="shared" si="80"/>
        <v>0</v>
      </c>
      <c r="S114" s="165">
        <v>429</v>
      </c>
      <c r="T114" s="165">
        <v>3460</v>
      </c>
      <c r="U114" s="165">
        <v>2844</v>
      </c>
      <c r="V114" s="165">
        <v>3264</v>
      </c>
      <c r="W114" s="165">
        <v>3266</v>
      </c>
      <c r="X114" s="166">
        <f t="shared" si="83"/>
        <v>6.1274509803932453E-4</v>
      </c>
      <c r="Y114" s="166">
        <f t="shared" si="84"/>
        <v>1.5874736372928956E-3</v>
      </c>
    </row>
    <row r="115" spans="1:25" x14ac:dyDescent="0.25">
      <c r="A115" s="57"/>
      <c r="B115" s="164" t="s">
        <v>121</v>
      </c>
      <c r="C115" s="165">
        <v>0</v>
      </c>
      <c r="D115" s="165">
        <v>0</v>
      </c>
      <c r="E115" s="165">
        <v>0</v>
      </c>
      <c r="F115" s="165">
        <v>0</v>
      </c>
      <c r="G115" s="165">
        <v>0</v>
      </c>
      <c r="H115" s="165">
        <v>0</v>
      </c>
      <c r="I115" s="166" t="str">
        <f t="shared" si="81"/>
        <v>-</v>
      </c>
      <c r="J115" s="166">
        <f t="shared" si="78"/>
        <v>0</v>
      </c>
      <c r="K115" s="165">
        <v>623</v>
      </c>
      <c r="L115" s="165">
        <v>0</v>
      </c>
      <c r="M115" s="165">
        <v>0</v>
      </c>
      <c r="N115" s="165">
        <v>0</v>
      </c>
      <c r="O115" s="165">
        <v>0</v>
      </c>
      <c r="P115" s="165">
        <v>0</v>
      </c>
      <c r="Q115" s="166" t="str">
        <f t="shared" si="82"/>
        <v>-</v>
      </c>
      <c r="R115" s="166">
        <f t="shared" si="80"/>
        <v>0</v>
      </c>
      <c r="S115" s="165">
        <v>623</v>
      </c>
      <c r="T115" s="165">
        <v>2207</v>
      </c>
      <c r="U115" s="165">
        <v>2103</v>
      </c>
      <c r="V115" s="165">
        <v>2457</v>
      </c>
      <c r="W115" s="165">
        <v>2247</v>
      </c>
      <c r="X115" s="166">
        <f t="shared" si="83"/>
        <v>-8.54700854700855E-2</v>
      </c>
      <c r="Y115" s="166">
        <f t="shared" si="84"/>
        <v>1.0921779739734038E-3</v>
      </c>
    </row>
    <row r="116" spans="1:25" x14ac:dyDescent="0.25">
      <c r="A116" s="57"/>
      <c r="B116" s="164" t="s">
        <v>130</v>
      </c>
      <c r="C116" s="165">
        <v>0</v>
      </c>
      <c r="D116" s="165">
        <v>0</v>
      </c>
      <c r="E116" s="165">
        <v>0</v>
      </c>
      <c r="F116" s="165">
        <v>0</v>
      </c>
      <c r="G116" s="165">
        <v>0</v>
      </c>
      <c r="H116" s="165">
        <v>0</v>
      </c>
      <c r="I116" s="166" t="str">
        <f t="shared" si="81"/>
        <v>-</v>
      </c>
      <c r="J116" s="166">
        <f t="shared" si="78"/>
        <v>0</v>
      </c>
      <c r="K116" s="165">
        <v>206</v>
      </c>
      <c r="L116" s="165">
        <v>0</v>
      </c>
      <c r="M116" s="165">
        <v>0</v>
      </c>
      <c r="N116" s="165">
        <v>0</v>
      </c>
      <c r="O116" s="165">
        <v>0</v>
      </c>
      <c r="P116" s="165">
        <v>0</v>
      </c>
      <c r="Q116" s="166" t="str">
        <f t="shared" si="82"/>
        <v>-</v>
      </c>
      <c r="R116" s="166">
        <f t="shared" si="80"/>
        <v>0</v>
      </c>
      <c r="S116" s="165">
        <v>206</v>
      </c>
      <c r="T116" s="165">
        <v>419</v>
      </c>
      <c r="U116" s="165">
        <v>590</v>
      </c>
      <c r="V116" s="165">
        <v>813</v>
      </c>
      <c r="W116" s="165">
        <v>783</v>
      </c>
      <c r="X116" s="166">
        <f t="shared" si="83"/>
        <v>-3.6900369003690092E-2</v>
      </c>
      <c r="Y116" s="166">
        <f t="shared" si="84"/>
        <v>3.8058538211890305E-4</v>
      </c>
    </row>
    <row r="117" spans="1:25" x14ac:dyDescent="0.25">
      <c r="A117" s="57"/>
      <c r="B117" s="164" t="s">
        <v>133</v>
      </c>
      <c r="C117" s="165">
        <v>0</v>
      </c>
      <c r="D117" s="165">
        <v>0</v>
      </c>
      <c r="E117" s="165">
        <v>0</v>
      </c>
      <c r="F117" s="165">
        <v>0</v>
      </c>
      <c r="G117" s="165">
        <v>0</v>
      </c>
      <c r="H117" s="165">
        <v>0</v>
      </c>
      <c r="I117" s="166" t="str">
        <f t="shared" si="81"/>
        <v>-</v>
      </c>
      <c r="J117" s="166">
        <f t="shared" si="78"/>
        <v>0</v>
      </c>
      <c r="K117" s="165">
        <v>526</v>
      </c>
      <c r="L117" s="165">
        <v>0</v>
      </c>
      <c r="M117" s="165">
        <v>0</v>
      </c>
      <c r="N117" s="165">
        <v>0</v>
      </c>
      <c r="O117" s="165">
        <v>0</v>
      </c>
      <c r="P117" s="165">
        <v>0</v>
      </c>
      <c r="Q117" s="166" t="str">
        <f t="shared" si="82"/>
        <v>-</v>
      </c>
      <c r="R117" s="166">
        <f t="shared" si="80"/>
        <v>0</v>
      </c>
      <c r="S117" s="165">
        <v>526</v>
      </c>
      <c r="T117" s="165">
        <v>623</v>
      </c>
      <c r="U117" s="165">
        <v>373</v>
      </c>
      <c r="V117" s="165">
        <v>1010</v>
      </c>
      <c r="W117" s="165">
        <v>661</v>
      </c>
      <c r="X117" s="166">
        <f t="shared" si="83"/>
        <v>-0.34554455445544552</v>
      </c>
      <c r="Y117" s="166">
        <f t="shared" si="84"/>
        <v>3.212859994643613E-4</v>
      </c>
    </row>
    <row r="118" spans="1:25" x14ac:dyDescent="0.25">
      <c r="A118" s="57"/>
      <c r="B118" s="169" t="s">
        <v>147</v>
      </c>
      <c r="C118" s="170">
        <f t="shared" ref="C118" si="85">C110-SUM(C111:C117)</f>
        <v>0</v>
      </c>
      <c r="D118" s="170">
        <f t="shared" ref="D118:H118" si="86">D110-SUM(D111:D117)</f>
        <v>0</v>
      </c>
      <c r="E118" s="170">
        <f t="shared" si="86"/>
        <v>0</v>
      </c>
      <c r="F118" s="170">
        <f t="shared" si="86"/>
        <v>0</v>
      </c>
      <c r="G118" s="170">
        <f t="shared" si="86"/>
        <v>0</v>
      </c>
      <c r="H118" s="170">
        <f t="shared" si="86"/>
        <v>0</v>
      </c>
      <c r="I118" s="171" t="str">
        <f t="shared" si="81"/>
        <v>-</v>
      </c>
      <c r="J118" s="171">
        <f t="shared" si="78"/>
        <v>0</v>
      </c>
      <c r="K118" s="170">
        <f t="shared" ref="K118:P118" si="87">K110-SUM(K111:K117)</f>
        <v>3453</v>
      </c>
      <c r="L118" s="170">
        <f t="shared" si="87"/>
        <v>0</v>
      </c>
      <c r="M118" s="170">
        <f t="shared" si="87"/>
        <v>0</v>
      </c>
      <c r="N118" s="170">
        <f t="shared" si="87"/>
        <v>0</v>
      </c>
      <c r="O118" s="170">
        <f t="shared" si="87"/>
        <v>0</v>
      </c>
      <c r="P118" s="170">
        <f t="shared" si="87"/>
        <v>0</v>
      </c>
      <c r="Q118" s="171" t="str">
        <f t="shared" si="82"/>
        <v>-</v>
      </c>
      <c r="R118" s="171">
        <f t="shared" si="80"/>
        <v>0</v>
      </c>
      <c r="S118" s="170">
        <f>S110-SUM(S111:S117)</f>
        <v>3453</v>
      </c>
      <c r="T118" s="170">
        <f>T110-SUM(T111:T117)</f>
        <v>13126</v>
      </c>
      <c r="U118" s="170">
        <f>U110-SUM(U111:U117)</f>
        <v>13320</v>
      </c>
      <c r="V118" s="170">
        <f>V110-SUM(V111:V117)</f>
        <v>15221</v>
      </c>
      <c r="W118" s="170">
        <f>W110-SUM(W111:W117)</f>
        <v>18492</v>
      </c>
      <c r="X118" s="171">
        <f t="shared" si="83"/>
        <v>0.21490046646081074</v>
      </c>
      <c r="Y118" s="171">
        <f t="shared" si="84"/>
        <v>8.9882310167851281E-3</v>
      </c>
    </row>
    <row r="119" spans="1:25" x14ac:dyDescent="0.25">
      <c r="A119" s="57"/>
      <c r="B119" s="156" t="s">
        <v>53</v>
      </c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  <c r="N119" s="154"/>
      <c r="O119" s="154"/>
      <c r="P119" s="154"/>
      <c r="Q119" s="154"/>
      <c r="R119" s="154"/>
      <c r="S119" s="154"/>
      <c r="T119" s="154"/>
      <c r="U119" s="154"/>
      <c r="V119" s="154"/>
      <c r="W119" s="154"/>
      <c r="X119" s="154"/>
      <c r="Y119" s="154"/>
    </row>
    <row r="120" spans="1:25" x14ac:dyDescent="0.25">
      <c r="A120" s="57"/>
      <c r="B120" s="157" t="s">
        <v>70</v>
      </c>
      <c r="C120" s="177">
        <f t="shared" ref="C120:H120" si="88">C121+C124</f>
        <v>26561</v>
      </c>
      <c r="D120" s="177">
        <f t="shared" si="88"/>
        <v>23936</v>
      </c>
      <c r="E120" s="177">
        <f t="shared" si="88"/>
        <v>40296</v>
      </c>
      <c r="F120" s="177">
        <f t="shared" si="88"/>
        <v>51003</v>
      </c>
      <c r="G120" s="177">
        <f t="shared" si="88"/>
        <v>52931</v>
      </c>
      <c r="H120" s="177">
        <f t="shared" si="88"/>
        <v>49109</v>
      </c>
      <c r="I120" s="178">
        <f>IFERROR(H120/G120-1,"-")</f>
        <v>-7.2207213164308226E-2</v>
      </c>
      <c r="J120" s="178">
        <f t="shared" ref="J120:J132" si="89">H120/H$8</f>
        <v>0.1317365108830362</v>
      </c>
      <c r="K120" s="177">
        <f t="shared" ref="K120:P120" si="90">K121+K124</f>
        <v>26292</v>
      </c>
      <c r="L120" s="177">
        <f t="shared" si="90"/>
        <v>34867</v>
      </c>
      <c r="M120" s="177">
        <f t="shared" si="90"/>
        <v>64125</v>
      </c>
      <c r="N120" s="177">
        <f t="shared" si="90"/>
        <v>75573</v>
      </c>
      <c r="O120" s="177">
        <f t="shared" si="90"/>
        <v>72479</v>
      </c>
      <c r="P120" s="177">
        <f t="shared" si="90"/>
        <v>91652</v>
      </c>
      <c r="Q120" s="178">
        <f>IFERROR(P120/O120-1,"-")</f>
        <v>0.26453179541660332</v>
      </c>
      <c r="R120" s="178">
        <f t="shared" ref="R120:R132" si="91">P120/P$8</f>
        <v>5.4406601071486871E-2</v>
      </c>
      <c r="S120" s="177">
        <f>S121+S124</f>
        <v>52853</v>
      </c>
      <c r="T120" s="177">
        <f>T121+T124</f>
        <v>104421</v>
      </c>
      <c r="U120" s="177">
        <f>U121+U124</f>
        <v>126576</v>
      </c>
      <c r="V120" s="177">
        <f>V121+V124</f>
        <v>125410</v>
      </c>
      <c r="W120" s="177">
        <f>W121+W124</f>
        <v>140761</v>
      </c>
      <c r="X120" s="178">
        <f>IFERROR(W120/V120-1,"-")</f>
        <v>0.12240650665816122</v>
      </c>
      <c r="Y120" s="178">
        <f>W120/W$8</f>
        <v>6.8418363949474981E-2</v>
      </c>
    </row>
    <row r="121" spans="1:25" x14ac:dyDescent="0.25">
      <c r="A121" s="57"/>
      <c r="B121" s="160" t="s">
        <v>99</v>
      </c>
      <c r="C121" s="161">
        <v>12262</v>
      </c>
      <c r="D121" s="161">
        <v>12367</v>
      </c>
      <c r="E121" s="161">
        <v>23012</v>
      </c>
      <c r="F121" s="161">
        <v>31876</v>
      </c>
      <c r="G121" s="161">
        <v>35095</v>
      </c>
      <c r="H121" s="161">
        <v>30335</v>
      </c>
      <c r="I121" s="162">
        <f>IFERROR(H121/G121-1,"-")</f>
        <v>-0.13563185638979913</v>
      </c>
      <c r="J121" s="162">
        <f t="shared" si="89"/>
        <v>8.1374637187417845E-2</v>
      </c>
      <c r="K121" s="161">
        <v>14678</v>
      </c>
      <c r="L121" s="161">
        <v>26287</v>
      </c>
      <c r="M121" s="161">
        <v>39964</v>
      </c>
      <c r="N121" s="161">
        <v>44589</v>
      </c>
      <c r="O121" s="161">
        <v>40842</v>
      </c>
      <c r="P121" s="161">
        <v>57390</v>
      </c>
      <c r="Q121" s="162">
        <f>IFERROR(P121/O121-1,"-")</f>
        <v>0.40517114734831794</v>
      </c>
      <c r="R121" s="162">
        <f t="shared" si="91"/>
        <v>3.4067939984862648E-2</v>
      </c>
      <c r="S121" s="161">
        <v>26940</v>
      </c>
      <c r="T121" s="161">
        <v>62976</v>
      </c>
      <c r="U121" s="161">
        <v>76465</v>
      </c>
      <c r="V121" s="161">
        <v>75937</v>
      </c>
      <c r="W121" s="161">
        <v>87725</v>
      </c>
      <c r="X121" s="162">
        <f>IFERROR(W121/V121-1,"-")</f>
        <v>0.1552339439272028</v>
      </c>
      <c r="Y121" s="162">
        <f>W121/W$8</f>
        <v>4.2639658552210434E-2</v>
      </c>
    </row>
    <row r="122" spans="1:25" x14ac:dyDescent="0.25">
      <c r="A122" s="57"/>
      <c r="B122" s="164" t="s">
        <v>105</v>
      </c>
      <c r="C122" s="165">
        <v>6450</v>
      </c>
      <c r="D122" s="165">
        <v>6328</v>
      </c>
      <c r="E122" s="165">
        <v>12657</v>
      </c>
      <c r="F122" s="165">
        <v>14419</v>
      </c>
      <c r="G122" s="165">
        <v>19491</v>
      </c>
      <c r="H122" s="165">
        <v>17619</v>
      </c>
      <c r="I122" s="166">
        <f>IFERROR(H122/G122-1,"-")</f>
        <v>-9.6044328151454472E-2</v>
      </c>
      <c r="J122" s="166">
        <f t="shared" si="89"/>
        <v>4.7263548132688807E-2</v>
      </c>
      <c r="K122" s="165">
        <v>7265</v>
      </c>
      <c r="L122" s="165">
        <v>14533</v>
      </c>
      <c r="M122" s="165">
        <v>18857</v>
      </c>
      <c r="N122" s="165">
        <v>21142</v>
      </c>
      <c r="O122" s="165">
        <v>14618</v>
      </c>
      <c r="P122" s="165">
        <v>26425</v>
      </c>
      <c r="Q122" s="166">
        <f>IFERROR(P122/O122-1,"-")</f>
        <v>0.80770283212477767</v>
      </c>
      <c r="R122" s="166">
        <f t="shared" si="91"/>
        <v>1.5686449104373508E-2</v>
      </c>
      <c r="S122" s="165">
        <v>13715</v>
      </c>
      <c r="T122" s="165">
        <v>31514</v>
      </c>
      <c r="U122" s="165">
        <v>35561</v>
      </c>
      <c r="V122" s="165">
        <v>34109</v>
      </c>
      <c r="W122" s="165">
        <v>44044</v>
      </c>
      <c r="X122" s="166">
        <f>IFERROR(W122/V122-1,"-")</f>
        <v>0.29127209827318312</v>
      </c>
      <c r="Y122" s="166">
        <f>W122/W$8</f>
        <v>2.1408049259316688E-2</v>
      </c>
    </row>
    <row r="123" spans="1:25" x14ac:dyDescent="0.25">
      <c r="A123" s="57"/>
      <c r="B123" s="164" t="s">
        <v>102</v>
      </c>
      <c r="C123" s="165">
        <v>5812</v>
      </c>
      <c r="D123" s="165">
        <v>6039</v>
      </c>
      <c r="E123" s="165">
        <v>10355</v>
      </c>
      <c r="F123" s="165">
        <v>17457</v>
      </c>
      <c r="G123" s="165">
        <v>15604</v>
      </c>
      <c r="H123" s="165">
        <v>12716</v>
      </c>
      <c r="I123" s="166">
        <f>IFERROR(H123/G123-1,"-")</f>
        <v>-0.18508074852601897</v>
      </c>
      <c r="J123" s="166">
        <f t="shared" si="89"/>
        <v>3.4111089054729038E-2</v>
      </c>
      <c r="K123" s="165">
        <v>7413</v>
      </c>
      <c r="L123" s="165">
        <v>11754</v>
      </c>
      <c r="M123" s="165">
        <v>21107</v>
      </c>
      <c r="N123" s="165">
        <v>23447</v>
      </c>
      <c r="O123" s="165">
        <v>26224</v>
      </c>
      <c r="P123" s="165">
        <v>30965</v>
      </c>
      <c r="Q123" s="166">
        <f>IFERROR(P123/O123-1,"-")</f>
        <v>0.18078859060402674</v>
      </c>
      <c r="R123" s="166">
        <f t="shared" si="91"/>
        <v>1.8381490880489144E-2</v>
      </c>
      <c r="S123" s="165">
        <v>13225</v>
      </c>
      <c r="T123" s="165">
        <v>31462</v>
      </c>
      <c r="U123" s="165">
        <v>40904</v>
      </c>
      <c r="V123" s="165">
        <v>41828</v>
      </c>
      <c r="W123" s="165">
        <v>43681</v>
      </c>
      <c r="X123" s="166">
        <f>IFERROR(W123/V123-1,"-")</f>
        <v>4.4300468585636521E-2</v>
      </c>
      <c r="Y123" s="166">
        <f>W123/W$8</f>
        <v>2.1231609292893746E-2</v>
      </c>
    </row>
    <row r="124" spans="1:25" x14ac:dyDescent="0.25">
      <c r="A124" s="57"/>
      <c r="B124" s="160" t="s">
        <v>109</v>
      </c>
      <c r="C124" s="161">
        <v>14299</v>
      </c>
      <c r="D124" s="161">
        <v>11569</v>
      </c>
      <c r="E124" s="161">
        <v>17284</v>
      </c>
      <c r="F124" s="161">
        <v>19127</v>
      </c>
      <c r="G124" s="161">
        <v>17836</v>
      </c>
      <c r="H124" s="161">
        <v>18774</v>
      </c>
      <c r="I124" s="162">
        <f>IFERROR(H124/G124-1,"-")</f>
        <v>5.2590266875981229E-2</v>
      </c>
      <c r="J124" s="162">
        <f t="shared" si="89"/>
        <v>5.0361873695618349E-2</v>
      </c>
      <c r="K124" s="161">
        <v>11614</v>
      </c>
      <c r="L124" s="161">
        <v>8580</v>
      </c>
      <c r="M124" s="161">
        <v>24161</v>
      </c>
      <c r="N124" s="161">
        <v>30984</v>
      </c>
      <c r="O124" s="161">
        <v>31637</v>
      </c>
      <c r="P124" s="161">
        <v>34262</v>
      </c>
      <c r="Q124" s="162">
        <f>IFERROR(P124/O124-1,"-")</f>
        <v>8.2972468944590094E-2</v>
      </c>
      <c r="R124" s="162">
        <f t="shared" si="91"/>
        <v>2.0338661086624223E-2</v>
      </c>
      <c r="S124" s="161">
        <v>25913</v>
      </c>
      <c r="T124" s="161">
        <v>41445</v>
      </c>
      <c r="U124" s="161">
        <v>50111</v>
      </c>
      <c r="V124" s="161">
        <v>49473</v>
      </c>
      <c r="W124" s="161">
        <v>53036</v>
      </c>
      <c r="X124" s="162">
        <f>IFERROR(W124/V124-1,"-")</f>
        <v>7.20190811149517E-2</v>
      </c>
      <c r="Y124" s="162">
        <f>W124/W$8</f>
        <v>2.577870539726455E-2</v>
      </c>
    </row>
    <row r="125" spans="1:25" s="57" customFormat="1" x14ac:dyDescent="0.25">
      <c r="B125" s="164" t="s">
        <v>112</v>
      </c>
      <c r="C125" s="165">
        <v>1009</v>
      </c>
      <c r="D125" s="165">
        <v>123</v>
      </c>
      <c r="E125" s="165">
        <v>936</v>
      </c>
      <c r="F125" s="165">
        <v>1628</v>
      </c>
      <c r="G125" s="165">
        <v>1392</v>
      </c>
      <c r="H125" s="165">
        <v>1407</v>
      </c>
      <c r="I125" s="166">
        <f t="shared" ref="I125:I132" si="92">IFERROR(H125/G125-1,"-")</f>
        <v>1.0775862068965525E-2</v>
      </c>
      <c r="J125" s="166">
        <f t="shared" si="89"/>
        <v>3.7743238675687131E-3</v>
      </c>
      <c r="K125" s="165">
        <v>1801</v>
      </c>
      <c r="L125" s="165">
        <v>492</v>
      </c>
      <c r="M125" s="165">
        <v>3130</v>
      </c>
      <c r="N125" s="165">
        <v>4405</v>
      </c>
      <c r="O125" s="165">
        <v>4646</v>
      </c>
      <c r="P125" s="165">
        <v>4102</v>
      </c>
      <c r="Q125" s="166">
        <f t="shared" ref="Q125:Q132" si="93">IFERROR(P125/O125-1,"-")</f>
        <v>-0.11708996986655185</v>
      </c>
      <c r="R125" s="166">
        <f t="shared" si="91"/>
        <v>2.4350355430895034E-3</v>
      </c>
      <c r="S125" s="165">
        <v>2810</v>
      </c>
      <c r="T125" s="165">
        <v>4066</v>
      </c>
      <c r="U125" s="165">
        <v>6033</v>
      </c>
      <c r="V125" s="165">
        <v>6038</v>
      </c>
      <c r="W125" s="165">
        <v>5509</v>
      </c>
      <c r="X125" s="166">
        <f t="shared" ref="X125:X132" si="94">IFERROR(W125/V125-1,"-")</f>
        <v>-8.761179198410074E-2</v>
      </c>
      <c r="Y125" s="166">
        <f t="shared" ref="Y125:Y132" si="95">W125/W$8</f>
        <v>2.6777073692120521E-3</v>
      </c>
    </row>
    <row r="126" spans="1:25" s="57" customFormat="1" x14ac:dyDescent="0.25">
      <c r="B126" s="164" t="s">
        <v>115</v>
      </c>
      <c r="C126" s="165">
        <v>1174</v>
      </c>
      <c r="D126" s="165">
        <v>1035</v>
      </c>
      <c r="E126" s="165">
        <v>1469</v>
      </c>
      <c r="F126" s="165">
        <v>2796</v>
      </c>
      <c r="G126" s="165">
        <v>2703</v>
      </c>
      <c r="H126" s="165">
        <v>2707</v>
      </c>
      <c r="I126" s="166">
        <f t="shared" si="92"/>
        <v>1.4798372179061214E-3</v>
      </c>
      <c r="J126" s="166">
        <f t="shared" si="89"/>
        <v>7.2616167089612693E-3</v>
      </c>
      <c r="K126" s="165">
        <v>1720</v>
      </c>
      <c r="L126" s="165">
        <v>1088</v>
      </c>
      <c r="M126" s="165">
        <v>3182</v>
      </c>
      <c r="N126" s="165">
        <v>4808</v>
      </c>
      <c r="O126" s="165">
        <v>4464</v>
      </c>
      <c r="P126" s="165">
        <v>5311</v>
      </c>
      <c r="Q126" s="166">
        <f t="shared" si="93"/>
        <v>0.18974014336917566</v>
      </c>
      <c r="R126" s="166">
        <f t="shared" si="91"/>
        <v>3.1527239808260242E-3</v>
      </c>
      <c r="S126" s="165">
        <v>2894</v>
      </c>
      <c r="T126" s="165">
        <v>4651</v>
      </c>
      <c r="U126" s="165">
        <v>7604</v>
      </c>
      <c r="V126" s="165">
        <v>7167</v>
      </c>
      <c r="W126" s="165">
        <v>8018</v>
      </c>
      <c r="X126" s="166">
        <f t="shared" si="94"/>
        <v>0.11873866331798522</v>
      </c>
      <c r="Y126" s="166">
        <f t="shared" si="95"/>
        <v>3.8972331977386522E-3</v>
      </c>
    </row>
    <row r="127" spans="1:25" x14ac:dyDescent="0.25">
      <c r="A127" s="57"/>
      <c r="B127" s="164" t="s">
        <v>118</v>
      </c>
      <c r="C127" s="165">
        <v>890</v>
      </c>
      <c r="D127" s="165">
        <v>927</v>
      </c>
      <c r="E127" s="165">
        <v>1270</v>
      </c>
      <c r="F127" s="165">
        <v>1608</v>
      </c>
      <c r="G127" s="165">
        <v>1460</v>
      </c>
      <c r="H127" s="165">
        <v>1594</v>
      </c>
      <c r="I127" s="166">
        <f t="shared" si="92"/>
        <v>9.1780821917808231E-2</v>
      </c>
      <c r="J127" s="166">
        <f t="shared" si="89"/>
        <v>4.2759575301382574E-3</v>
      </c>
      <c r="K127" s="165">
        <v>1060</v>
      </c>
      <c r="L127" s="165">
        <v>1971</v>
      </c>
      <c r="M127" s="165">
        <v>2766</v>
      </c>
      <c r="N127" s="165">
        <v>2868</v>
      </c>
      <c r="O127" s="165">
        <v>2686</v>
      </c>
      <c r="P127" s="165">
        <v>2681</v>
      </c>
      <c r="Q127" s="166">
        <f t="shared" si="93"/>
        <v>-1.8615040953090523E-3</v>
      </c>
      <c r="R127" s="166">
        <f t="shared" si="91"/>
        <v>1.5914993395960406E-3</v>
      </c>
      <c r="S127" s="165">
        <v>1950</v>
      </c>
      <c r="T127" s="165">
        <v>4036</v>
      </c>
      <c r="U127" s="165">
        <v>4476</v>
      </c>
      <c r="V127" s="165">
        <v>4146</v>
      </c>
      <c r="W127" s="165">
        <v>4275</v>
      </c>
      <c r="X127" s="166">
        <f t="shared" si="94"/>
        <v>3.1114327062228719E-2</v>
      </c>
      <c r="Y127" s="166">
        <f t="shared" si="95"/>
        <v>2.0779086954767693E-3</v>
      </c>
    </row>
    <row r="128" spans="1:25" x14ac:dyDescent="0.25">
      <c r="A128" s="57"/>
      <c r="B128" s="164" t="s">
        <v>125</v>
      </c>
      <c r="C128" s="165">
        <v>261</v>
      </c>
      <c r="D128" s="165">
        <v>106</v>
      </c>
      <c r="E128" s="165">
        <v>339</v>
      </c>
      <c r="F128" s="165">
        <v>331</v>
      </c>
      <c r="G128" s="165">
        <v>346</v>
      </c>
      <c r="H128" s="165">
        <v>476</v>
      </c>
      <c r="I128" s="166">
        <f t="shared" si="92"/>
        <v>0.37572254335260125</v>
      </c>
      <c r="J128" s="166">
        <f t="shared" si="89"/>
        <v>1.2768856865406591E-3</v>
      </c>
      <c r="K128" s="165">
        <v>266</v>
      </c>
      <c r="L128" s="165">
        <v>205</v>
      </c>
      <c r="M128" s="165">
        <v>838</v>
      </c>
      <c r="N128" s="165">
        <v>882</v>
      </c>
      <c r="O128" s="165">
        <v>903</v>
      </c>
      <c r="P128" s="165">
        <v>822</v>
      </c>
      <c r="Q128" s="166">
        <f t="shared" si="93"/>
        <v>-8.9700996677740896E-2</v>
      </c>
      <c r="R128" s="166">
        <f t="shared" si="91"/>
        <v>4.879569030764436E-4</v>
      </c>
      <c r="S128" s="165">
        <v>527</v>
      </c>
      <c r="T128" s="165">
        <v>1177</v>
      </c>
      <c r="U128" s="165">
        <v>1213</v>
      </c>
      <c r="V128" s="165">
        <v>1249</v>
      </c>
      <c r="W128" s="165">
        <v>1298</v>
      </c>
      <c r="X128" s="166">
        <f t="shared" si="94"/>
        <v>3.9231385108086547E-2</v>
      </c>
      <c r="Y128" s="166">
        <f t="shared" si="95"/>
        <v>6.30906546603239E-4</v>
      </c>
    </row>
    <row r="129" spans="1:25" x14ac:dyDescent="0.25">
      <c r="A129" s="57"/>
      <c r="B129" s="164" t="s">
        <v>121</v>
      </c>
      <c r="C129" s="165">
        <v>170</v>
      </c>
      <c r="D129" s="165">
        <v>95</v>
      </c>
      <c r="E129" s="165">
        <v>276</v>
      </c>
      <c r="F129" s="165">
        <v>302</v>
      </c>
      <c r="G129" s="165">
        <v>316</v>
      </c>
      <c r="H129" s="165">
        <v>286</v>
      </c>
      <c r="I129" s="166">
        <f t="shared" si="92"/>
        <v>-9.4936708860759444E-2</v>
      </c>
      <c r="J129" s="166">
        <f t="shared" si="89"/>
        <v>7.6720442510636239E-4</v>
      </c>
      <c r="K129" s="165">
        <v>285</v>
      </c>
      <c r="L129" s="165">
        <v>210</v>
      </c>
      <c r="M129" s="165">
        <v>601</v>
      </c>
      <c r="N129" s="165">
        <v>638</v>
      </c>
      <c r="O129" s="165">
        <v>697</v>
      </c>
      <c r="P129" s="165">
        <v>841</v>
      </c>
      <c r="Q129" s="166">
        <f t="shared" si="93"/>
        <v>0.20659971305595404</v>
      </c>
      <c r="R129" s="166">
        <f t="shared" si="91"/>
        <v>4.9923571227164119E-4</v>
      </c>
      <c r="S129" s="165">
        <v>455</v>
      </c>
      <c r="T129" s="165">
        <v>877</v>
      </c>
      <c r="U129" s="165">
        <v>940</v>
      </c>
      <c r="V129" s="165">
        <v>1013</v>
      </c>
      <c r="W129" s="165">
        <v>1127</v>
      </c>
      <c r="X129" s="166">
        <f t="shared" si="94"/>
        <v>0.11253701875616984</v>
      </c>
      <c r="Y129" s="166">
        <f t="shared" si="95"/>
        <v>5.477901987841682E-4</v>
      </c>
    </row>
    <row r="130" spans="1:25" x14ac:dyDescent="0.25">
      <c r="A130" s="57"/>
      <c r="B130" s="164" t="s">
        <v>130</v>
      </c>
      <c r="C130" s="165">
        <v>169</v>
      </c>
      <c r="D130" s="165">
        <v>12</v>
      </c>
      <c r="E130" s="165">
        <v>143</v>
      </c>
      <c r="F130" s="165">
        <v>141</v>
      </c>
      <c r="G130" s="165">
        <v>161</v>
      </c>
      <c r="H130" s="165">
        <v>192</v>
      </c>
      <c r="I130" s="166">
        <f t="shared" si="92"/>
        <v>0.19254658385093171</v>
      </c>
      <c r="J130" s="166">
        <f t="shared" si="89"/>
        <v>5.1504632734413142E-4</v>
      </c>
      <c r="K130" s="165">
        <v>461</v>
      </c>
      <c r="L130" s="165">
        <v>22</v>
      </c>
      <c r="M130" s="165">
        <v>429</v>
      </c>
      <c r="N130" s="165">
        <v>634</v>
      </c>
      <c r="O130" s="165">
        <v>697</v>
      </c>
      <c r="P130" s="165">
        <v>477</v>
      </c>
      <c r="Q130" s="166">
        <f t="shared" si="93"/>
        <v>-0.31563845050215211</v>
      </c>
      <c r="R130" s="166">
        <f t="shared" si="91"/>
        <v>2.8315747295311875E-4</v>
      </c>
      <c r="S130" s="165">
        <v>630</v>
      </c>
      <c r="T130" s="165">
        <v>572</v>
      </c>
      <c r="U130" s="165">
        <v>775</v>
      </c>
      <c r="V130" s="165">
        <v>858</v>
      </c>
      <c r="W130" s="165">
        <v>669</v>
      </c>
      <c r="X130" s="166">
        <f t="shared" si="94"/>
        <v>-0.22027972027972031</v>
      </c>
      <c r="Y130" s="166">
        <f t="shared" si="95"/>
        <v>3.2517448357285587E-4</v>
      </c>
    </row>
    <row r="131" spans="1:25" x14ac:dyDescent="0.25">
      <c r="A131" s="57"/>
      <c r="B131" s="164" t="s">
        <v>133</v>
      </c>
      <c r="C131" s="165">
        <v>146</v>
      </c>
      <c r="D131" s="165">
        <v>66</v>
      </c>
      <c r="E131" s="165">
        <v>136</v>
      </c>
      <c r="F131" s="165">
        <v>250</v>
      </c>
      <c r="G131" s="165">
        <v>173</v>
      </c>
      <c r="H131" s="165">
        <v>173</v>
      </c>
      <c r="I131" s="166">
        <f t="shared" si="92"/>
        <v>0</v>
      </c>
      <c r="J131" s="166">
        <f t="shared" si="89"/>
        <v>4.6407820120070175E-4</v>
      </c>
      <c r="K131" s="165">
        <v>824</v>
      </c>
      <c r="L131" s="165">
        <v>75</v>
      </c>
      <c r="M131" s="165">
        <v>894</v>
      </c>
      <c r="N131" s="165">
        <v>1204</v>
      </c>
      <c r="O131" s="165">
        <v>1145</v>
      </c>
      <c r="P131" s="165">
        <v>1191</v>
      </c>
      <c r="Q131" s="166">
        <f t="shared" si="93"/>
        <v>4.0174672489083019E-2</v>
      </c>
      <c r="R131" s="166">
        <f t="shared" si="91"/>
        <v>7.070032500779128E-4</v>
      </c>
      <c r="S131" s="165">
        <v>970</v>
      </c>
      <c r="T131" s="165">
        <v>1030</v>
      </c>
      <c r="U131" s="165">
        <v>1454</v>
      </c>
      <c r="V131" s="165">
        <v>1318</v>
      </c>
      <c r="W131" s="165">
        <v>1364</v>
      </c>
      <c r="X131" s="166">
        <f t="shared" si="94"/>
        <v>3.4901365705614529E-2</v>
      </c>
      <c r="Y131" s="166">
        <f t="shared" si="95"/>
        <v>6.6298654049831891E-4</v>
      </c>
    </row>
    <row r="132" spans="1:25" x14ac:dyDescent="0.25">
      <c r="A132" s="57"/>
      <c r="B132" s="169" t="s">
        <v>147</v>
      </c>
      <c r="C132" s="170">
        <f t="shared" ref="C132" si="96">C124-SUM(C125:C131)</f>
        <v>10480</v>
      </c>
      <c r="D132" s="170">
        <f t="shared" ref="D132:H132" si="97">D124-SUM(D125:D131)</f>
        <v>9205</v>
      </c>
      <c r="E132" s="170">
        <f t="shared" si="97"/>
        <v>12715</v>
      </c>
      <c r="F132" s="170">
        <f t="shared" si="97"/>
        <v>12071</v>
      </c>
      <c r="G132" s="170">
        <f t="shared" si="97"/>
        <v>11285</v>
      </c>
      <c r="H132" s="170">
        <f t="shared" si="97"/>
        <v>11939</v>
      </c>
      <c r="I132" s="171">
        <f t="shared" si="92"/>
        <v>5.795303500221527E-2</v>
      </c>
      <c r="J132" s="171">
        <f t="shared" si="89"/>
        <v>3.2026760948758254E-2</v>
      </c>
      <c r="K132" s="170">
        <f t="shared" ref="K132:P132" si="98">K124-SUM(K125:K131)</f>
        <v>5197</v>
      </c>
      <c r="L132" s="170">
        <f t="shared" si="98"/>
        <v>4517</v>
      </c>
      <c r="M132" s="170">
        <f t="shared" si="98"/>
        <v>12321</v>
      </c>
      <c r="N132" s="170">
        <f t="shared" si="98"/>
        <v>15545</v>
      </c>
      <c r="O132" s="170">
        <f t="shared" si="98"/>
        <v>16399</v>
      </c>
      <c r="P132" s="170">
        <f t="shared" si="98"/>
        <v>18837</v>
      </c>
      <c r="Q132" s="171">
        <f t="shared" si="93"/>
        <v>0.1486676016830295</v>
      </c>
      <c r="R132" s="171">
        <f t="shared" si="91"/>
        <v>1.1182048884733538E-2</v>
      </c>
      <c r="S132" s="170">
        <f>S124-SUM(S125:S131)</f>
        <v>15677</v>
      </c>
      <c r="T132" s="170">
        <f>T124-SUM(T125:T131)</f>
        <v>25036</v>
      </c>
      <c r="U132" s="170">
        <f>U124-SUM(U125:U131)</f>
        <v>27616</v>
      </c>
      <c r="V132" s="170">
        <f>V124-SUM(V125:V131)</f>
        <v>27684</v>
      </c>
      <c r="W132" s="170">
        <f>W124-SUM(W125:W131)</f>
        <v>30776</v>
      </c>
      <c r="X132" s="171">
        <f t="shared" si="94"/>
        <v>0.11168906227423792</v>
      </c>
      <c r="Y132" s="171">
        <f t="shared" si="95"/>
        <v>1.4958998365378492E-2</v>
      </c>
    </row>
    <row r="133" spans="1:25" x14ac:dyDescent="0.25">
      <c r="A133" s="57"/>
      <c r="B133" s="156" t="s">
        <v>54</v>
      </c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  <c r="N133" s="154"/>
      <c r="O133" s="154"/>
      <c r="P133" s="154"/>
      <c r="Q133" s="154"/>
      <c r="R133" s="154"/>
      <c r="S133" s="154"/>
      <c r="T133" s="154"/>
      <c r="U133" s="154"/>
      <c r="V133" s="154"/>
      <c r="W133" s="154"/>
      <c r="X133" s="154"/>
      <c r="Y133" s="154"/>
    </row>
    <row r="134" spans="1:25" x14ac:dyDescent="0.25">
      <c r="A134" s="57"/>
      <c r="B134" s="157" t="s">
        <v>70</v>
      </c>
      <c r="C134" s="177">
        <f t="shared" ref="C134:H134" si="99">C135+C138</f>
        <v>6753</v>
      </c>
      <c r="D134" s="177">
        <f t="shared" si="99"/>
        <v>0</v>
      </c>
      <c r="E134" s="177">
        <f t="shared" si="99"/>
        <v>23519</v>
      </c>
      <c r="F134" s="177">
        <f t="shared" si="99"/>
        <v>22547</v>
      </c>
      <c r="G134" s="177">
        <f t="shared" si="99"/>
        <v>25679</v>
      </c>
      <c r="H134" s="177">
        <f t="shared" si="99"/>
        <v>24582</v>
      </c>
      <c r="I134" s="178">
        <f>IFERROR(H134/G134-1,"-")</f>
        <v>-4.2719732076794248E-2</v>
      </c>
      <c r="J134" s="178">
        <f t="shared" ref="J134:J146" si="100">H134/H$8</f>
        <v>6.5942025097778328E-2</v>
      </c>
      <c r="K134" s="177">
        <f t="shared" ref="K134:P134" si="101">K135+K138</f>
        <v>32534</v>
      </c>
      <c r="L134" s="177">
        <f t="shared" si="101"/>
        <v>0</v>
      </c>
      <c r="M134" s="177">
        <f t="shared" si="101"/>
        <v>77628</v>
      </c>
      <c r="N134" s="177">
        <f t="shared" si="101"/>
        <v>87658</v>
      </c>
      <c r="O134" s="177">
        <f t="shared" si="101"/>
        <v>92306</v>
      </c>
      <c r="P134" s="177">
        <f t="shared" si="101"/>
        <v>86086</v>
      </c>
      <c r="Q134" s="178">
        <f>IFERROR(P134/O134-1,"-")</f>
        <v>-6.7384568717093196E-2</v>
      </c>
      <c r="R134" s="178">
        <f t="shared" ref="R134:R146" si="102">P134/P$8</f>
        <v>5.1102503598830569E-2</v>
      </c>
      <c r="S134" s="177">
        <f>S135+S138</f>
        <v>39287</v>
      </c>
      <c r="T134" s="177">
        <f>T135+T138</f>
        <v>101147</v>
      </c>
      <c r="U134" s="177">
        <f>U135+U138</f>
        <v>110205</v>
      </c>
      <c r="V134" s="177">
        <f>V135+V138</f>
        <v>117985</v>
      </c>
      <c r="W134" s="177">
        <f>W135+W138</f>
        <v>110668</v>
      </c>
      <c r="X134" s="178">
        <f>IFERROR(W134/V134-1,"-")</f>
        <v>-6.201635801161165E-2</v>
      </c>
      <c r="Y134" s="178">
        <f>W134/W$8</f>
        <v>5.3791344914859207E-2</v>
      </c>
    </row>
    <row r="135" spans="1:25" x14ac:dyDescent="0.25">
      <c r="A135" s="57"/>
      <c r="B135" s="160" t="s">
        <v>99</v>
      </c>
      <c r="C135" s="161">
        <v>514</v>
      </c>
      <c r="D135" s="161">
        <v>0</v>
      </c>
      <c r="E135" s="161">
        <v>2433</v>
      </c>
      <c r="F135" s="161">
        <v>3307</v>
      </c>
      <c r="G135" s="161">
        <v>3095</v>
      </c>
      <c r="H135" s="161">
        <v>1174</v>
      </c>
      <c r="I135" s="162">
        <f>IFERROR(H135/G135-1,"-")</f>
        <v>-0.62067851373182559</v>
      </c>
      <c r="J135" s="162">
        <f t="shared" si="100"/>
        <v>3.1492936890729702E-3</v>
      </c>
      <c r="K135" s="161">
        <v>1373</v>
      </c>
      <c r="L135" s="161">
        <v>0</v>
      </c>
      <c r="M135" s="161">
        <v>6410</v>
      </c>
      <c r="N135" s="161">
        <v>7382</v>
      </c>
      <c r="O135" s="161">
        <v>4955</v>
      </c>
      <c r="P135" s="161">
        <v>5271</v>
      </c>
      <c r="Q135" s="162">
        <f>IFERROR(P135/O135-1,"-")</f>
        <v>6.3773965691221068E-2</v>
      </c>
      <c r="R135" s="162">
        <f t="shared" si="102"/>
        <v>3.1289791193624505E-3</v>
      </c>
      <c r="S135" s="161">
        <v>1887</v>
      </c>
      <c r="T135" s="161">
        <v>8843</v>
      </c>
      <c r="U135" s="161">
        <v>10689</v>
      </c>
      <c r="V135" s="161">
        <v>8050</v>
      </c>
      <c r="W135" s="161">
        <v>6445</v>
      </c>
      <c r="X135" s="162">
        <f>IFERROR(W135/V135-1,"-")</f>
        <v>-0.19937888198757769</v>
      </c>
      <c r="Y135" s="162">
        <f>W135/W$8</f>
        <v>3.1326600099059131E-3</v>
      </c>
    </row>
    <row r="136" spans="1:25" x14ac:dyDescent="0.25">
      <c r="A136" s="57"/>
      <c r="B136" s="164" t="s">
        <v>105</v>
      </c>
      <c r="C136" s="165">
        <v>514</v>
      </c>
      <c r="D136" s="165">
        <v>0</v>
      </c>
      <c r="E136" s="165">
        <v>2362</v>
      </c>
      <c r="F136" s="165">
        <v>3307</v>
      </c>
      <c r="G136" s="165">
        <v>3095</v>
      </c>
      <c r="H136" s="165">
        <v>1174</v>
      </c>
      <c r="I136" s="166">
        <f>IFERROR(H136/G136-1,"-")</f>
        <v>-0.62067851373182559</v>
      </c>
      <c r="J136" s="166">
        <f t="shared" si="100"/>
        <v>3.1492936890729702E-3</v>
      </c>
      <c r="K136" s="165">
        <v>632</v>
      </c>
      <c r="L136" s="165">
        <v>0</v>
      </c>
      <c r="M136" s="165">
        <v>3781</v>
      </c>
      <c r="N136" s="165">
        <v>3681</v>
      </c>
      <c r="O136" s="165">
        <v>1954</v>
      </c>
      <c r="P136" s="165">
        <v>1654</v>
      </c>
      <c r="Q136" s="166">
        <f>IFERROR(P136/O136-1,"-")</f>
        <v>-0.15353121801432956</v>
      </c>
      <c r="R136" s="166">
        <f t="shared" si="102"/>
        <v>9.8185002151878072E-4</v>
      </c>
      <c r="S136" s="165">
        <v>1146</v>
      </c>
      <c r="T136" s="165">
        <v>6143</v>
      </c>
      <c r="U136" s="165">
        <v>6988</v>
      </c>
      <c r="V136" s="165">
        <v>5049</v>
      </c>
      <c r="W136" s="165">
        <v>2828</v>
      </c>
      <c r="X136" s="166">
        <f>IFERROR(W136/V136-1,"-")</f>
        <v>-0.43988908694791051</v>
      </c>
      <c r="Y136" s="166">
        <f>W136/W$8</f>
        <v>1.3745791323528196E-3</v>
      </c>
    </row>
    <row r="137" spans="1:25" x14ac:dyDescent="0.25">
      <c r="A137" s="57"/>
      <c r="B137" s="164" t="s">
        <v>102</v>
      </c>
      <c r="C137" s="165">
        <v>0</v>
      </c>
      <c r="D137" s="165">
        <v>0</v>
      </c>
      <c r="E137" s="165">
        <v>71</v>
      </c>
      <c r="F137" s="165">
        <v>0</v>
      </c>
      <c r="G137" s="165">
        <v>0</v>
      </c>
      <c r="H137" s="165">
        <v>0</v>
      </c>
      <c r="I137" s="166" t="str">
        <f>IFERROR(H137/G137-1,"-")</f>
        <v>-</v>
      </c>
      <c r="J137" s="166">
        <f t="shared" si="100"/>
        <v>0</v>
      </c>
      <c r="K137" s="165">
        <v>741</v>
      </c>
      <c r="L137" s="165">
        <v>0</v>
      </c>
      <c r="M137" s="165">
        <v>2629</v>
      </c>
      <c r="N137" s="165">
        <v>3701</v>
      </c>
      <c r="O137" s="165">
        <v>3001</v>
      </c>
      <c r="P137" s="165">
        <v>3617</v>
      </c>
      <c r="Q137" s="166">
        <f>IFERROR(P137/O137-1,"-")</f>
        <v>0.20526491169610139</v>
      </c>
      <c r="R137" s="166">
        <f t="shared" si="102"/>
        <v>2.1471290978436696E-3</v>
      </c>
      <c r="S137" s="165">
        <v>741</v>
      </c>
      <c r="T137" s="165">
        <v>2700</v>
      </c>
      <c r="U137" s="165">
        <v>3701</v>
      </c>
      <c r="V137" s="165">
        <v>3001</v>
      </c>
      <c r="W137" s="165">
        <v>3617</v>
      </c>
      <c r="X137" s="166">
        <f>IFERROR(W137/V137-1,"-")</f>
        <v>0.20526491169610139</v>
      </c>
      <c r="Y137" s="166">
        <f>W137/W$8</f>
        <v>1.7580808775530935E-3</v>
      </c>
    </row>
    <row r="138" spans="1:25" x14ac:dyDescent="0.25">
      <c r="A138" s="57"/>
      <c r="B138" s="160" t="s">
        <v>109</v>
      </c>
      <c r="C138" s="161">
        <v>6239</v>
      </c>
      <c r="D138" s="161">
        <v>0</v>
      </c>
      <c r="E138" s="161">
        <v>21086</v>
      </c>
      <c r="F138" s="161">
        <v>19240</v>
      </c>
      <c r="G138" s="161">
        <v>22584</v>
      </c>
      <c r="H138" s="161">
        <v>23408</v>
      </c>
      <c r="I138" s="162">
        <f>IFERROR(H138/G138-1,"-")</f>
        <v>3.6486007793127939E-2</v>
      </c>
      <c r="J138" s="162">
        <f t="shared" si="100"/>
        <v>6.2792731408705352E-2</v>
      </c>
      <c r="K138" s="161">
        <v>31161</v>
      </c>
      <c r="L138" s="161">
        <v>0</v>
      </c>
      <c r="M138" s="161">
        <v>71218</v>
      </c>
      <c r="N138" s="161">
        <v>80276</v>
      </c>
      <c r="O138" s="161">
        <v>87351</v>
      </c>
      <c r="P138" s="161">
        <v>80815</v>
      </c>
      <c r="Q138" s="162">
        <f>IFERROR(P138/O138-1,"-")</f>
        <v>-7.4824558390859885E-2</v>
      </c>
      <c r="R138" s="162">
        <f t="shared" si="102"/>
        <v>4.7973524479468115E-2</v>
      </c>
      <c r="S138" s="161">
        <v>37400</v>
      </c>
      <c r="T138" s="161">
        <v>92304</v>
      </c>
      <c r="U138" s="161">
        <v>99516</v>
      </c>
      <c r="V138" s="161">
        <v>109935</v>
      </c>
      <c r="W138" s="161">
        <v>104223</v>
      </c>
      <c r="X138" s="162">
        <f>IFERROR(W138/V138-1,"-")</f>
        <v>-5.1957975167144177E-2</v>
      </c>
      <c r="Y138" s="162">
        <f>W138/W$8</f>
        <v>5.0658684904953295E-2</v>
      </c>
    </row>
    <row r="139" spans="1:25" s="57" customFormat="1" x14ac:dyDescent="0.25">
      <c r="B139" s="164" t="s">
        <v>112</v>
      </c>
      <c r="C139" s="165">
        <v>3314</v>
      </c>
      <c r="D139" s="165">
        <v>0</v>
      </c>
      <c r="E139" s="165">
        <v>10828</v>
      </c>
      <c r="F139" s="165">
        <v>9935</v>
      </c>
      <c r="G139" s="165">
        <v>12948</v>
      </c>
      <c r="H139" s="165">
        <v>13391</v>
      </c>
      <c r="I139" s="166">
        <f t="shared" ref="I139:I146" si="103">IFERROR(H139/G139-1,"-")</f>
        <v>3.4213778189681854E-2</v>
      </c>
      <c r="J139" s="166">
        <f t="shared" si="100"/>
        <v>3.592179879929825E-2</v>
      </c>
      <c r="K139" s="165">
        <v>12322</v>
      </c>
      <c r="L139" s="165">
        <v>0</v>
      </c>
      <c r="M139" s="165">
        <v>27933</v>
      </c>
      <c r="N139" s="165">
        <v>30542</v>
      </c>
      <c r="O139" s="165">
        <v>34943</v>
      </c>
      <c r="P139" s="165">
        <v>33896</v>
      </c>
      <c r="Q139" s="166">
        <f t="shared" ref="Q139:Q146" si="104">IFERROR(P139/O139-1,"-")</f>
        <v>-2.9963082734739466E-2</v>
      </c>
      <c r="R139" s="166">
        <f t="shared" si="102"/>
        <v>2.0121395604232522E-2</v>
      </c>
      <c r="S139" s="165">
        <v>15636</v>
      </c>
      <c r="T139" s="165">
        <v>38761</v>
      </c>
      <c r="U139" s="165">
        <v>40477</v>
      </c>
      <c r="V139" s="165">
        <v>47891</v>
      </c>
      <c r="W139" s="165">
        <v>47287</v>
      </c>
      <c r="X139" s="166">
        <f t="shared" ref="X139:X146" si="105">IFERROR(W139/V139-1,"-")</f>
        <v>-1.2611973022070955E-2</v>
      </c>
      <c r="Y139" s="166">
        <f t="shared" ref="Y139:Y146" si="106">W139/W$8</f>
        <v>2.2984343504797659E-2</v>
      </c>
    </row>
    <row r="140" spans="1:25" s="57" customFormat="1" x14ac:dyDescent="0.25">
      <c r="B140" s="164" t="s">
        <v>115</v>
      </c>
      <c r="C140" s="165">
        <v>966</v>
      </c>
      <c r="D140" s="165">
        <v>0</v>
      </c>
      <c r="E140" s="165">
        <v>680</v>
      </c>
      <c r="F140" s="165">
        <v>1010</v>
      </c>
      <c r="G140" s="165">
        <v>905</v>
      </c>
      <c r="H140" s="165">
        <v>989</v>
      </c>
      <c r="I140" s="166">
        <f t="shared" si="103"/>
        <v>9.2817679558011124E-2</v>
      </c>
      <c r="J140" s="166">
        <f t="shared" si="100"/>
        <v>2.6530250924132605E-3</v>
      </c>
      <c r="K140" s="165">
        <v>1709</v>
      </c>
      <c r="L140" s="165">
        <v>0</v>
      </c>
      <c r="M140" s="165">
        <v>5286</v>
      </c>
      <c r="N140" s="165">
        <v>7937</v>
      </c>
      <c r="O140" s="165">
        <v>9338</v>
      </c>
      <c r="P140" s="165">
        <v>8014</v>
      </c>
      <c r="Q140" s="166">
        <f t="shared" si="104"/>
        <v>-0.14178624973227671</v>
      </c>
      <c r="R140" s="166">
        <f t="shared" si="102"/>
        <v>4.7572829942270304E-3</v>
      </c>
      <c r="S140" s="165">
        <v>2675</v>
      </c>
      <c r="T140" s="165">
        <v>5966</v>
      </c>
      <c r="U140" s="165">
        <v>8947</v>
      </c>
      <c r="V140" s="165">
        <v>10243</v>
      </c>
      <c r="W140" s="165">
        <v>9003</v>
      </c>
      <c r="X140" s="166">
        <f t="shared" si="105"/>
        <v>-0.12105828370594551</v>
      </c>
      <c r="Y140" s="166">
        <f t="shared" si="106"/>
        <v>4.3760028035970426E-3</v>
      </c>
    </row>
    <row r="141" spans="1:25" x14ac:dyDescent="0.25">
      <c r="A141" s="57"/>
      <c r="B141" s="164" t="s">
        <v>118</v>
      </c>
      <c r="C141" s="165">
        <v>87</v>
      </c>
      <c r="D141" s="165">
        <v>0</v>
      </c>
      <c r="E141" s="165">
        <v>2817</v>
      </c>
      <c r="F141" s="165">
        <v>2350</v>
      </c>
      <c r="G141" s="165">
        <v>2542</v>
      </c>
      <c r="H141" s="165">
        <v>2491</v>
      </c>
      <c r="I141" s="166">
        <f t="shared" si="103"/>
        <v>-2.0062942564909481E-2</v>
      </c>
      <c r="J141" s="166">
        <f t="shared" si="100"/>
        <v>6.6821895906991214E-3</v>
      </c>
      <c r="K141" s="165">
        <v>3010</v>
      </c>
      <c r="L141" s="165">
        <v>0</v>
      </c>
      <c r="M141" s="165">
        <v>9061</v>
      </c>
      <c r="N141" s="165">
        <v>8605</v>
      </c>
      <c r="O141" s="165">
        <v>8958</v>
      </c>
      <c r="P141" s="165">
        <v>6948</v>
      </c>
      <c r="Q141" s="166">
        <f t="shared" si="104"/>
        <v>-0.22438044206296048</v>
      </c>
      <c r="R141" s="166">
        <f t="shared" si="102"/>
        <v>4.1244824362227858E-3</v>
      </c>
      <c r="S141" s="165">
        <v>3097</v>
      </c>
      <c r="T141" s="165">
        <v>11878</v>
      </c>
      <c r="U141" s="165">
        <v>10955</v>
      </c>
      <c r="V141" s="165">
        <v>11500</v>
      </c>
      <c r="W141" s="165">
        <v>9439</v>
      </c>
      <c r="X141" s="166">
        <f t="shared" si="105"/>
        <v>-0.17921739130434777</v>
      </c>
      <c r="Y141" s="166">
        <f t="shared" si="106"/>
        <v>4.587925187509995E-3</v>
      </c>
    </row>
    <row r="142" spans="1:25" x14ac:dyDescent="0.25">
      <c r="A142" s="57"/>
      <c r="B142" s="164" t="s">
        <v>125</v>
      </c>
      <c r="C142" s="165">
        <v>94</v>
      </c>
      <c r="D142" s="165">
        <v>0</v>
      </c>
      <c r="E142" s="165">
        <v>1834</v>
      </c>
      <c r="F142" s="165">
        <v>1328</v>
      </c>
      <c r="G142" s="165">
        <v>915</v>
      </c>
      <c r="H142" s="165">
        <v>725</v>
      </c>
      <c r="I142" s="166">
        <f t="shared" si="103"/>
        <v>-0.20765027322404372</v>
      </c>
      <c r="J142" s="166">
        <f t="shared" si="100"/>
        <v>1.9448363923150796E-3</v>
      </c>
      <c r="K142" s="165">
        <v>312</v>
      </c>
      <c r="L142" s="165">
        <v>0</v>
      </c>
      <c r="M142" s="165">
        <v>2052</v>
      </c>
      <c r="N142" s="165">
        <v>2139</v>
      </c>
      <c r="O142" s="165">
        <v>1695</v>
      </c>
      <c r="P142" s="165">
        <v>1587</v>
      </c>
      <c r="Q142" s="166">
        <f t="shared" si="104"/>
        <v>-6.371681415929209E-2</v>
      </c>
      <c r="R142" s="166">
        <f t="shared" si="102"/>
        <v>9.4207737856729441E-4</v>
      </c>
      <c r="S142" s="165">
        <v>406</v>
      </c>
      <c r="T142" s="165">
        <v>3886</v>
      </c>
      <c r="U142" s="165">
        <v>3467</v>
      </c>
      <c r="V142" s="165">
        <v>2610</v>
      </c>
      <c r="W142" s="165">
        <v>2312</v>
      </c>
      <c r="X142" s="166">
        <f t="shared" si="105"/>
        <v>-0.114176245210728</v>
      </c>
      <c r="Y142" s="166">
        <f t="shared" si="106"/>
        <v>1.1237719073549219E-3</v>
      </c>
    </row>
    <row r="143" spans="1:25" x14ac:dyDescent="0.25">
      <c r="A143" s="57"/>
      <c r="B143" s="164" t="s">
        <v>121</v>
      </c>
      <c r="C143" s="165">
        <v>52</v>
      </c>
      <c r="D143" s="165">
        <v>0</v>
      </c>
      <c r="E143" s="165">
        <v>172</v>
      </c>
      <c r="F143" s="165">
        <v>299</v>
      </c>
      <c r="G143" s="165">
        <v>453</v>
      </c>
      <c r="H143" s="165">
        <v>0</v>
      </c>
      <c r="I143" s="166">
        <f t="shared" si="103"/>
        <v>-1</v>
      </c>
      <c r="J143" s="166">
        <f t="shared" si="100"/>
        <v>0</v>
      </c>
      <c r="K143" s="165">
        <v>619</v>
      </c>
      <c r="L143" s="165">
        <v>0</v>
      </c>
      <c r="M143" s="165">
        <v>1515</v>
      </c>
      <c r="N143" s="165">
        <v>1741</v>
      </c>
      <c r="O143" s="165">
        <v>2059</v>
      </c>
      <c r="P143" s="165">
        <v>1714</v>
      </c>
      <c r="Q143" s="166">
        <f t="shared" si="104"/>
        <v>-0.16755706653715396</v>
      </c>
      <c r="R143" s="166">
        <f t="shared" si="102"/>
        <v>1.0174673137141415E-3</v>
      </c>
      <c r="S143" s="165">
        <v>671</v>
      </c>
      <c r="T143" s="165">
        <v>1687</v>
      </c>
      <c r="U143" s="165">
        <v>2040</v>
      </c>
      <c r="V143" s="165">
        <v>2512</v>
      </c>
      <c r="W143" s="165">
        <v>1714</v>
      </c>
      <c r="X143" s="166">
        <f t="shared" si="105"/>
        <v>-0.3176751592356688</v>
      </c>
      <c r="Y143" s="166">
        <f t="shared" si="106"/>
        <v>8.3310772024495507E-4</v>
      </c>
    </row>
    <row r="144" spans="1:25" x14ac:dyDescent="0.25">
      <c r="A144" s="57"/>
      <c r="B144" s="164" t="s">
        <v>130</v>
      </c>
      <c r="C144" s="165">
        <v>142</v>
      </c>
      <c r="D144" s="165">
        <v>0</v>
      </c>
      <c r="E144" s="165">
        <v>68</v>
      </c>
      <c r="F144" s="165">
        <v>139</v>
      </c>
      <c r="G144" s="165">
        <v>6</v>
      </c>
      <c r="H144" s="165">
        <v>0</v>
      </c>
      <c r="I144" s="166">
        <f t="shared" si="103"/>
        <v>-1</v>
      </c>
      <c r="J144" s="166">
        <f t="shared" si="100"/>
        <v>0</v>
      </c>
      <c r="K144" s="165">
        <v>1439</v>
      </c>
      <c r="L144" s="165">
        <v>0</v>
      </c>
      <c r="M144" s="165">
        <v>1492</v>
      </c>
      <c r="N144" s="165">
        <v>1807</v>
      </c>
      <c r="O144" s="165">
        <v>1790</v>
      </c>
      <c r="P144" s="165">
        <v>1993</v>
      </c>
      <c r="Q144" s="166">
        <f t="shared" si="104"/>
        <v>0.11340782122905035</v>
      </c>
      <c r="R144" s="166">
        <f t="shared" si="102"/>
        <v>1.1830877224225694E-3</v>
      </c>
      <c r="S144" s="165">
        <v>1581</v>
      </c>
      <c r="T144" s="165">
        <v>1560</v>
      </c>
      <c r="U144" s="165">
        <v>1946</v>
      </c>
      <c r="V144" s="165">
        <v>1796</v>
      </c>
      <c r="W144" s="165">
        <v>1993</v>
      </c>
      <c r="X144" s="166">
        <f t="shared" si="105"/>
        <v>0.10968819599109136</v>
      </c>
      <c r="Y144" s="166">
        <f t="shared" si="106"/>
        <v>9.6871860352870209E-4</v>
      </c>
    </row>
    <row r="145" spans="1:25" x14ac:dyDescent="0.25">
      <c r="A145" s="57"/>
      <c r="B145" s="164" t="s">
        <v>133</v>
      </c>
      <c r="C145" s="165">
        <v>815</v>
      </c>
      <c r="D145" s="165">
        <v>0</v>
      </c>
      <c r="E145" s="165">
        <v>49</v>
      </c>
      <c r="F145" s="165">
        <v>62</v>
      </c>
      <c r="G145" s="165">
        <v>53</v>
      </c>
      <c r="H145" s="165">
        <v>0</v>
      </c>
      <c r="I145" s="166">
        <f t="shared" si="103"/>
        <v>-1</v>
      </c>
      <c r="J145" s="166">
        <f t="shared" si="100"/>
        <v>0</v>
      </c>
      <c r="K145" s="165">
        <v>2462</v>
      </c>
      <c r="L145" s="165">
        <v>0</v>
      </c>
      <c r="M145" s="165">
        <v>676</v>
      </c>
      <c r="N145" s="165">
        <v>1230</v>
      </c>
      <c r="O145" s="165">
        <v>1100</v>
      </c>
      <c r="P145" s="165">
        <v>806</v>
      </c>
      <c r="Q145" s="166">
        <f t="shared" si="104"/>
        <v>-0.26727272727272722</v>
      </c>
      <c r="R145" s="166">
        <f t="shared" si="102"/>
        <v>4.7845895849101406E-4</v>
      </c>
      <c r="S145" s="165">
        <v>3277</v>
      </c>
      <c r="T145" s="165">
        <v>725</v>
      </c>
      <c r="U145" s="165">
        <v>1292</v>
      </c>
      <c r="V145" s="165">
        <v>1153</v>
      </c>
      <c r="W145" s="165">
        <v>806</v>
      </c>
      <c r="X145" s="166">
        <f t="shared" si="105"/>
        <v>-0.30095403295750212</v>
      </c>
      <c r="Y145" s="166">
        <f t="shared" si="106"/>
        <v>3.9176477393082482E-4</v>
      </c>
    </row>
    <row r="146" spans="1:25" x14ac:dyDescent="0.25">
      <c r="A146" s="57"/>
      <c r="B146" s="169" t="s">
        <v>147</v>
      </c>
      <c r="C146" s="170">
        <f t="shared" ref="C146" si="107">C138-SUM(C139:C145)</f>
        <v>769</v>
      </c>
      <c r="D146" s="170">
        <f t="shared" ref="D146:H146" si="108">D138-SUM(D139:D145)</f>
        <v>0</v>
      </c>
      <c r="E146" s="170">
        <f t="shared" si="108"/>
        <v>4638</v>
      </c>
      <c r="F146" s="170">
        <f t="shared" si="108"/>
        <v>4117</v>
      </c>
      <c r="G146" s="170">
        <f t="shared" si="108"/>
        <v>4762</v>
      </c>
      <c r="H146" s="170">
        <f t="shared" si="108"/>
        <v>5812</v>
      </c>
      <c r="I146" s="171">
        <f t="shared" si="103"/>
        <v>0.22049559008819819</v>
      </c>
      <c r="J146" s="171">
        <f t="shared" si="100"/>
        <v>1.5590881533979644E-2</v>
      </c>
      <c r="K146" s="170">
        <f t="shared" ref="K146:P146" si="109">K138-SUM(K139:K145)</f>
        <v>9288</v>
      </c>
      <c r="L146" s="170">
        <f t="shared" si="109"/>
        <v>0</v>
      </c>
      <c r="M146" s="170">
        <f t="shared" si="109"/>
        <v>23203</v>
      </c>
      <c r="N146" s="170">
        <f t="shared" si="109"/>
        <v>26275</v>
      </c>
      <c r="O146" s="170">
        <f t="shared" si="109"/>
        <v>27468</v>
      </c>
      <c r="P146" s="170">
        <f t="shared" si="109"/>
        <v>25857</v>
      </c>
      <c r="Q146" s="171">
        <f t="shared" si="104"/>
        <v>-5.8650065530799433E-2</v>
      </c>
      <c r="R146" s="171">
        <f t="shared" si="102"/>
        <v>1.5349272071590757E-2</v>
      </c>
      <c r="S146" s="170">
        <f>S138-SUM(S139:S145)</f>
        <v>10057</v>
      </c>
      <c r="T146" s="170">
        <f>T138-SUM(T139:T145)</f>
        <v>27841</v>
      </c>
      <c r="U146" s="170">
        <f>U138-SUM(U139:U145)</f>
        <v>30392</v>
      </c>
      <c r="V146" s="170">
        <f>V138-SUM(V139:V145)</f>
        <v>32230</v>
      </c>
      <c r="W146" s="170">
        <f>W138-SUM(W139:W145)</f>
        <v>31669</v>
      </c>
      <c r="X146" s="171">
        <f t="shared" si="105"/>
        <v>-1.7406143344709912E-2</v>
      </c>
      <c r="Y146" s="171">
        <f t="shared" si="106"/>
        <v>1.5393050403989196E-2</v>
      </c>
    </row>
    <row r="147" spans="1:25" x14ac:dyDescent="0.25">
      <c r="A147" s="57"/>
      <c r="B147" s="156" t="s">
        <v>55</v>
      </c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  <c r="N147" s="154"/>
      <c r="O147" s="154"/>
      <c r="P147" s="154"/>
      <c r="Q147" s="154"/>
      <c r="R147" s="154"/>
      <c r="S147" s="154"/>
      <c r="T147" s="154"/>
      <c r="U147" s="154"/>
      <c r="V147" s="154"/>
      <c r="W147" s="154"/>
      <c r="X147" s="154"/>
      <c r="Y147" s="154"/>
    </row>
    <row r="148" spans="1:25" x14ac:dyDescent="0.25">
      <c r="A148" s="57"/>
      <c r="B148" s="157" t="s">
        <v>70</v>
      </c>
      <c r="C148" s="177">
        <f t="shared" ref="C148:H148" si="110">C149+C152</f>
        <v>5487</v>
      </c>
      <c r="D148" s="177">
        <f t="shared" si="110"/>
        <v>3113</v>
      </c>
      <c r="E148" s="177">
        <f t="shared" si="110"/>
        <v>13860</v>
      </c>
      <c r="F148" s="177">
        <f t="shared" si="110"/>
        <v>14694</v>
      </c>
      <c r="G148" s="177">
        <f t="shared" si="110"/>
        <v>16870</v>
      </c>
      <c r="H148" s="177">
        <f t="shared" si="110"/>
        <v>16261</v>
      </c>
      <c r="I148" s="178">
        <f>IFERROR(H148/G148-1,"-")</f>
        <v>-3.6099585062240647E-2</v>
      </c>
      <c r="J148" s="178">
        <f t="shared" ref="J148:J160" si="111">H148/H$8</f>
        <v>4.3620668379911048E-2</v>
      </c>
      <c r="K148" s="177">
        <f t="shared" ref="K148:P148" si="112">K149+K152</f>
        <v>16907</v>
      </c>
      <c r="L148" s="177">
        <f t="shared" si="112"/>
        <v>19017</v>
      </c>
      <c r="M148" s="177">
        <f t="shared" si="112"/>
        <v>37631</v>
      </c>
      <c r="N148" s="177">
        <f t="shared" si="112"/>
        <v>39860</v>
      </c>
      <c r="O148" s="177">
        <f t="shared" si="112"/>
        <v>39612</v>
      </c>
      <c r="P148" s="177">
        <f t="shared" si="112"/>
        <v>37470</v>
      </c>
      <c r="Q148" s="178">
        <f>IFERROR(P148/O148-1,"-")</f>
        <v>-5.4074522871856989E-2</v>
      </c>
      <c r="R148" s="178">
        <f t="shared" ref="R148:R160" si="113">P148/P$8</f>
        <v>2.2242998976002848E-2</v>
      </c>
      <c r="S148" s="177">
        <f>S149+S152</f>
        <v>22394</v>
      </c>
      <c r="T148" s="177">
        <f>T149+T152</f>
        <v>51491</v>
      </c>
      <c r="U148" s="177">
        <f>U149+U152</f>
        <v>54554</v>
      </c>
      <c r="V148" s="177">
        <f>V149+V152</f>
        <v>56482</v>
      </c>
      <c r="W148" s="177">
        <f>W149+W152</f>
        <v>53731</v>
      </c>
      <c r="X148" s="178">
        <f>IFERROR(W148/V148-1,"-")</f>
        <v>-4.8705782373145379E-2</v>
      </c>
      <c r="Y148" s="178">
        <f>W148/W$8</f>
        <v>2.6116517454190011E-2</v>
      </c>
    </row>
    <row r="149" spans="1:25" x14ac:dyDescent="0.25">
      <c r="A149" s="57"/>
      <c r="B149" s="160" t="s">
        <v>99</v>
      </c>
      <c r="C149" s="161">
        <v>3443</v>
      </c>
      <c r="D149" s="161">
        <v>1543</v>
      </c>
      <c r="E149" s="161">
        <v>8280</v>
      </c>
      <c r="F149" s="161">
        <v>9548</v>
      </c>
      <c r="G149" s="161">
        <v>9005</v>
      </c>
      <c r="H149" s="161">
        <v>8151</v>
      </c>
      <c r="I149" s="162">
        <f>IFERROR(H149/G149-1,"-")</f>
        <v>-9.4836202109938927E-2</v>
      </c>
      <c r="J149" s="162">
        <f t="shared" si="111"/>
        <v>2.1865326115531328E-2</v>
      </c>
      <c r="K149" s="161">
        <v>4415</v>
      </c>
      <c r="L149" s="161">
        <v>13948</v>
      </c>
      <c r="M149" s="161">
        <v>19286</v>
      </c>
      <c r="N149" s="161">
        <v>18369</v>
      </c>
      <c r="O149" s="161">
        <v>16168</v>
      </c>
      <c r="P149" s="161">
        <v>14375</v>
      </c>
      <c r="Q149" s="162">
        <f>IFERROR(P149/O149-1,"-")</f>
        <v>-0.11089807026224641</v>
      </c>
      <c r="R149" s="162">
        <f t="shared" si="113"/>
        <v>8.5333095884718695E-3</v>
      </c>
      <c r="S149" s="161">
        <v>7858</v>
      </c>
      <c r="T149" s="161">
        <v>27566</v>
      </c>
      <c r="U149" s="161">
        <v>27917</v>
      </c>
      <c r="V149" s="161">
        <v>25173</v>
      </c>
      <c r="W149" s="161">
        <v>22526</v>
      </c>
      <c r="X149" s="162">
        <f>IFERROR(W149/V149-1,"-")</f>
        <v>-0.10515234576729038</v>
      </c>
      <c r="Y149" s="162">
        <f>W149/W$8</f>
        <v>1.09489991284935E-2</v>
      </c>
    </row>
    <row r="150" spans="1:25" x14ac:dyDescent="0.25">
      <c r="A150" s="57"/>
      <c r="B150" s="164" t="s">
        <v>105</v>
      </c>
      <c r="C150" s="165">
        <v>545</v>
      </c>
      <c r="D150" s="165">
        <v>997</v>
      </c>
      <c r="E150" s="165">
        <v>2273</v>
      </c>
      <c r="F150" s="165">
        <v>2218</v>
      </c>
      <c r="G150" s="165">
        <v>1936</v>
      </c>
      <c r="H150" s="165">
        <v>2365</v>
      </c>
      <c r="I150" s="166">
        <f>IFERROR(H150/G150-1,"-")</f>
        <v>0.22159090909090917</v>
      </c>
      <c r="J150" s="166">
        <f t="shared" si="111"/>
        <v>6.3441904383795353E-3</v>
      </c>
      <c r="K150" s="165">
        <v>3315</v>
      </c>
      <c r="L150" s="165">
        <v>12585</v>
      </c>
      <c r="M150" s="165">
        <v>16947</v>
      </c>
      <c r="N150" s="165">
        <v>17220</v>
      </c>
      <c r="O150" s="165">
        <v>15163</v>
      </c>
      <c r="P150" s="165">
        <v>12196</v>
      </c>
      <c r="Q150" s="166">
        <f>IFERROR(P150/O150-1,"-")</f>
        <v>-0.19567367935105195</v>
      </c>
      <c r="R150" s="166">
        <f t="shared" si="113"/>
        <v>7.239808260243682E-3</v>
      </c>
      <c r="S150" s="165">
        <v>3860</v>
      </c>
      <c r="T150" s="165">
        <v>19220</v>
      </c>
      <c r="U150" s="165">
        <v>19438</v>
      </c>
      <c r="V150" s="165">
        <v>17099</v>
      </c>
      <c r="W150" s="165">
        <v>14561</v>
      </c>
      <c r="X150" s="166">
        <f>IFERROR(W150/V150-1,"-")</f>
        <v>-0.14842973273290838</v>
      </c>
      <c r="Y150" s="166">
        <f>W150/W$8</f>
        <v>7.0775271379736231E-3</v>
      </c>
    </row>
    <row r="151" spans="1:25" x14ac:dyDescent="0.25">
      <c r="A151" s="57"/>
      <c r="B151" s="164" t="s">
        <v>102</v>
      </c>
      <c r="C151" s="165">
        <v>2898</v>
      </c>
      <c r="D151" s="165">
        <v>546</v>
      </c>
      <c r="E151" s="165">
        <v>6007</v>
      </c>
      <c r="F151" s="165">
        <v>7330</v>
      </c>
      <c r="G151" s="165">
        <v>7069</v>
      </c>
      <c r="H151" s="165">
        <v>5786</v>
      </c>
      <c r="I151" s="166">
        <f>IFERROR(H151/G151-1,"-")</f>
        <v>-0.1814966756259726</v>
      </c>
      <c r="J151" s="166">
        <f t="shared" si="111"/>
        <v>1.5521135677151793E-2</v>
      </c>
      <c r="K151" s="165">
        <v>1100</v>
      </c>
      <c r="L151" s="165">
        <v>1363</v>
      </c>
      <c r="M151" s="165">
        <v>2339</v>
      </c>
      <c r="N151" s="165">
        <v>1149</v>
      </c>
      <c r="O151" s="165">
        <v>1005</v>
      </c>
      <c r="P151" s="165">
        <v>2179</v>
      </c>
      <c r="Q151" s="166">
        <f>IFERROR(P151/O151-1,"-")</f>
        <v>1.1681592039800996</v>
      </c>
      <c r="R151" s="166">
        <f t="shared" si="113"/>
        <v>1.2935013282281882E-3</v>
      </c>
      <c r="S151" s="165">
        <v>3998</v>
      </c>
      <c r="T151" s="165">
        <v>8346</v>
      </c>
      <c r="U151" s="165">
        <v>8479</v>
      </c>
      <c r="V151" s="165">
        <v>8074</v>
      </c>
      <c r="W151" s="165">
        <v>7965</v>
      </c>
      <c r="X151" s="166">
        <f>IFERROR(W151/V151-1,"-")</f>
        <v>-1.350012385434729E-2</v>
      </c>
      <c r="Y151" s="166">
        <f>W151/W$8</f>
        <v>3.8714719905198758E-3</v>
      </c>
    </row>
    <row r="152" spans="1:25" x14ac:dyDescent="0.25">
      <c r="A152" s="57"/>
      <c r="B152" s="160" t="s">
        <v>109</v>
      </c>
      <c r="C152" s="161">
        <v>2044</v>
      </c>
      <c r="D152" s="161">
        <v>1570</v>
      </c>
      <c r="E152" s="161">
        <v>5580</v>
      </c>
      <c r="F152" s="161">
        <v>5146</v>
      </c>
      <c r="G152" s="161">
        <v>7865</v>
      </c>
      <c r="H152" s="161">
        <v>8110</v>
      </c>
      <c r="I152" s="162">
        <f>IFERROR(H152/G152-1,"-")</f>
        <v>3.1150667514303843E-2</v>
      </c>
      <c r="J152" s="162">
        <f t="shared" si="111"/>
        <v>2.1755342264379716E-2</v>
      </c>
      <c r="K152" s="161">
        <v>12492</v>
      </c>
      <c r="L152" s="161">
        <v>5069</v>
      </c>
      <c r="M152" s="161">
        <v>18345</v>
      </c>
      <c r="N152" s="161">
        <v>21491</v>
      </c>
      <c r="O152" s="161">
        <v>23444</v>
      </c>
      <c r="P152" s="161">
        <v>23095</v>
      </c>
      <c r="Q152" s="162">
        <f>IFERROR(P152/O152-1,"-")</f>
        <v>-1.4886538133424332E-2</v>
      </c>
      <c r="R152" s="162">
        <f t="shared" si="113"/>
        <v>1.370968938753098E-2</v>
      </c>
      <c r="S152" s="161">
        <v>14536</v>
      </c>
      <c r="T152" s="161">
        <v>23925</v>
      </c>
      <c r="U152" s="161">
        <v>26637</v>
      </c>
      <c r="V152" s="161">
        <v>31309</v>
      </c>
      <c r="W152" s="161">
        <v>31205</v>
      </c>
      <c r="X152" s="162">
        <f>IFERROR(W152/V152-1,"-")</f>
        <v>-3.3217285764476356E-3</v>
      </c>
      <c r="Y152" s="162">
        <f>W152/W$8</f>
        <v>1.5167518325696513E-2</v>
      </c>
    </row>
    <row r="153" spans="1:25" s="57" customFormat="1" x14ac:dyDescent="0.25">
      <c r="B153" s="164" t="s">
        <v>112</v>
      </c>
      <c r="C153" s="165">
        <v>267</v>
      </c>
      <c r="D153" s="165">
        <v>76</v>
      </c>
      <c r="E153" s="165">
        <v>525</v>
      </c>
      <c r="F153" s="165">
        <v>410</v>
      </c>
      <c r="G153" s="165">
        <v>700</v>
      </c>
      <c r="H153" s="165">
        <v>689</v>
      </c>
      <c r="I153" s="166">
        <f t="shared" ref="I153:I160" si="114">IFERROR(H153/G153-1,"-")</f>
        <v>-1.5714285714285681E-2</v>
      </c>
      <c r="J153" s="166">
        <f t="shared" si="111"/>
        <v>1.848265205938055E-3</v>
      </c>
      <c r="K153" s="165">
        <v>4639</v>
      </c>
      <c r="L153" s="165">
        <v>178</v>
      </c>
      <c r="M153" s="165">
        <v>8155</v>
      </c>
      <c r="N153" s="165">
        <v>8955</v>
      </c>
      <c r="O153" s="165">
        <v>9720</v>
      </c>
      <c r="P153" s="165">
        <v>8002</v>
      </c>
      <c r="Q153" s="166">
        <f t="shared" ref="Q153:Q160" si="115">IFERROR(P153/O153-1,"-")</f>
        <v>-0.17674897119341559</v>
      </c>
      <c r="R153" s="166">
        <f t="shared" si="113"/>
        <v>4.7501595357879586E-3</v>
      </c>
      <c r="S153" s="165">
        <v>4906</v>
      </c>
      <c r="T153" s="165">
        <v>8680</v>
      </c>
      <c r="U153" s="165">
        <v>9365</v>
      </c>
      <c r="V153" s="165">
        <v>10420</v>
      </c>
      <c r="W153" s="165">
        <v>8691</v>
      </c>
      <c r="X153" s="166">
        <f t="shared" ref="X153:X160" si="116">IFERROR(W153/V153-1,"-")</f>
        <v>-0.16593090211132433</v>
      </c>
      <c r="Y153" s="166">
        <f t="shared" ref="Y153:Y160" si="117">W153/W$8</f>
        <v>4.2243519233657548E-3</v>
      </c>
    </row>
    <row r="154" spans="1:25" s="57" customFormat="1" x14ac:dyDescent="0.25">
      <c r="B154" s="164" t="s">
        <v>115</v>
      </c>
      <c r="C154" s="165">
        <v>395</v>
      </c>
      <c r="D154" s="165">
        <v>245</v>
      </c>
      <c r="E154" s="165">
        <v>1106</v>
      </c>
      <c r="F154" s="165">
        <v>1137</v>
      </c>
      <c r="G154" s="165">
        <v>1589</v>
      </c>
      <c r="H154" s="165">
        <v>1521</v>
      </c>
      <c r="I154" s="166">
        <f t="shared" si="114"/>
        <v>-4.279421019509122E-2</v>
      </c>
      <c r="J154" s="166">
        <f t="shared" si="111"/>
        <v>4.0801326244292915E-3</v>
      </c>
      <c r="K154" s="165">
        <v>3440</v>
      </c>
      <c r="L154" s="165">
        <v>990</v>
      </c>
      <c r="M154" s="165">
        <v>4102</v>
      </c>
      <c r="N154" s="165">
        <v>3927</v>
      </c>
      <c r="O154" s="165">
        <v>3720</v>
      </c>
      <c r="P154" s="165">
        <v>3717</v>
      </c>
      <c r="Q154" s="166">
        <f t="shared" si="115"/>
        <v>-8.064516129032695E-4</v>
      </c>
      <c r="R154" s="166">
        <f t="shared" si="113"/>
        <v>2.2064912515026044E-3</v>
      </c>
      <c r="S154" s="165">
        <v>3835</v>
      </c>
      <c r="T154" s="165">
        <v>5208</v>
      </c>
      <c r="U154" s="165">
        <v>5064</v>
      </c>
      <c r="V154" s="165">
        <v>5309</v>
      </c>
      <c r="W154" s="165">
        <v>5238</v>
      </c>
      <c r="X154" s="166">
        <f t="shared" si="116"/>
        <v>-1.3373516669806018E-2</v>
      </c>
      <c r="Y154" s="166">
        <f t="shared" si="117"/>
        <v>2.5459849700367999E-3</v>
      </c>
    </row>
    <row r="155" spans="1:25" x14ac:dyDescent="0.25">
      <c r="A155" s="57"/>
      <c r="B155" s="164" t="s">
        <v>118</v>
      </c>
      <c r="C155" s="165">
        <v>268</v>
      </c>
      <c r="D155" s="165">
        <v>387</v>
      </c>
      <c r="E155" s="165">
        <v>1014</v>
      </c>
      <c r="F155" s="165">
        <v>940</v>
      </c>
      <c r="G155" s="165">
        <v>1332</v>
      </c>
      <c r="H155" s="165">
        <v>1366</v>
      </c>
      <c r="I155" s="166">
        <f t="shared" si="114"/>
        <v>2.5525525525525561E-2</v>
      </c>
      <c r="J155" s="166">
        <f t="shared" si="111"/>
        <v>3.6643400164171015E-3</v>
      </c>
      <c r="K155" s="165">
        <v>1433</v>
      </c>
      <c r="L155" s="165">
        <v>1576</v>
      </c>
      <c r="M155" s="165">
        <v>1747</v>
      </c>
      <c r="N155" s="165">
        <v>3085</v>
      </c>
      <c r="O155" s="165">
        <v>3732</v>
      </c>
      <c r="P155" s="165">
        <v>5838</v>
      </c>
      <c r="Q155" s="166">
        <f t="shared" si="115"/>
        <v>0.56430868167202575</v>
      </c>
      <c r="R155" s="166">
        <f t="shared" si="113"/>
        <v>3.4655625306086106E-3</v>
      </c>
      <c r="S155" s="165">
        <v>1701</v>
      </c>
      <c r="T155" s="165">
        <v>2761</v>
      </c>
      <c r="U155" s="165">
        <v>4025</v>
      </c>
      <c r="V155" s="165">
        <v>5064</v>
      </c>
      <c r="W155" s="165">
        <v>7204</v>
      </c>
      <c r="X155" s="166">
        <f t="shared" si="116"/>
        <v>0.42259083728278046</v>
      </c>
      <c r="Y155" s="166">
        <f t="shared" si="117"/>
        <v>3.5015799396993326E-3</v>
      </c>
    </row>
    <row r="156" spans="1:25" x14ac:dyDescent="0.25">
      <c r="A156" s="57"/>
      <c r="B156" s="164" t="s">
        <v>125</v>
      </c>
      <c r="C156" s="165">
        <v>189</v>
      </c>
      <c r="D156" s="165">
        <v>75</v>
      </c>
      <c r="E156" s="165">
        <v>348</v>
      </c>
      <c r="F156" s="165">
        <v>340</v>
      </c>
      <c r="G156" s="165">
        <v>486</v>
      </c>
      <c r="H156" s="165">
        <v>551</v>
      </c>
      <c r="I156" s="166">
        <f t="shared" si="114"/>
        <v>0.13374485596707819</v>
      </c>
      <c r="J156" s="166">
        <f t="shared" si="111"/>
        <v>1.4780756581594604E-3</v>
      </c>
      <c r="K156" s="165">
        <v>306</v>
      </c>
      <c r="L156" s="165">
        <v>162</v>
      </c>
      <c r="M156" s="165">
        <v>399</v>
      </c>
      <c r="N156" s="165">
        <v>398</v>
      </c>
      <c r="O156" s="165">
        <v>576</v>
      </c>
      <c r="P156" s="165">
        <v>541</v>
      </c>
      <c r="Q156" s="166">
        <f t="shared" si="115"/>
        <v>-6.076388888888884E-2</v>
      </c>
      <c r="R156" s="166">
        <f t="shared" si="113"/>
        <v>3.21149251294837E-4</v>
      </c>
      <c r="S156" s="165">
        <v>495</v>
      </c>
      <c r="T156" s="165">
        <v>747</v>
      </c>
      <c r="U156" s="165">
        <v>738</v>
      </c>
      <c r="V156" s="165">
        <v>1062</v>
      </c>
      <c r="W156" s="165">
        <v>1092</v>
      </c>
      <c r="X156" s="166">
        <f t="shared" si="116"/>
        <v>2.8248587570621542E-2</v>
      </c>
      <c r="Y156" s="166">
        <f t="shared" si="117"/>
        <v>5.3077808080950457E-4</v>
      </c>
    </row>
    <row r="157" spans="1:25" x14ac:dyDescent="0.25">
      <c r="A157" s="57"/>
      <c r="B157" s="164" t="s">
        <v>121</v>
      </c>
      <c r="C157" s="165">
        <v>114</v>
      </c>
      <c r="D157" s="165">
        <v>92</v>
      </c>
      <c r="E157" s="165">
        <v>249</v>
      </c>
      <c r="F157" s="165">
        <v>243</v>
      </c>
      <c r="G157" s="165">
        <v>351</v>
      </c>
      <c r="H157" s="165">
        <v>421</v>
      </c>
      <c r="I157" s="166">
        <f t="shared" si="114"/>
        <v>0.19943019943019946</v>
      </c>
      <c r="J157" s="166">
        <f t="shared" si="111"/>
        <v>1.1293463740202048E-3</v>
      </c>
      <c r="K157" s="165">
        <v>393</v>
      </c>
      <c r="L157" s="165">
        <v>190</v>
      </c>
      <c r="M157" s="165">
        <v>852</v>
      </c>
      <c r="N157" s="165">
        <v>1016</v>
      </c>
      <c r="O157" s="165">
        <v>925</v>
      </c>
      <c r="P157" s="165">
        <v>732</v>
      </c>
      <c r="Q157" s="166">
        <f t="shared" si="115"/>
        <v>-0.20864864864864863</v>
      </c>
      <c r="R157" s="166">
        <f t="shared" si="113"/>
        <v>4.3453096478340234E-4</v>
      </c>
      <c r="S157" s="165">
        <v>507</v>
      </c>
      <c r="T157" s="165">
        <v>1101</v>
      </c>
      <c r="U157" s="165">
        <v>1259</v>
      </c>
      <c r="V157" s="165">
        <v>1276</v>
      </c>
      <c r="W157" s="165">
        <v>1153</v>
      </c>
      <c r="X157" s="166">
        <f t="shared" si="116"/>
        <v>-9.6394984326018784E-2</v>
      </c>
      <c r="Y157" s="166">
        <f t="shared" si="117"/>
        <v>5.6042777213677548E-4</v>
      </c>
    </row>
    <row r="158" spans="1:25" x14ac:dyDescent="0.25">
      <c r="A158" s="57"/>
      <c r="B158" s="164" t="s">
        <v>130</v>
      </c>
      <c r="C158" s="165">
        <v>42</v>
      </c>
      <c r="D158" s="165">
        <v>16</v>
      </c>
      <c r="E158" s="165">
        <v>72</v>
      </c>
      <c r="F158" s="165">
        <v>67</v>
      </c>
      <c r="G158" s="165">
        <v>62</v>
      </c>
      <c r="H158" s="165">
        <v>50</v>
      </c>
      <c r="I158" s="166">
        <f t="shared" si="114"/>
        <v>-0.19354838709677424</v>
      </c>
      <c r="J158" s="166">
        <f t="shared" si="111"/>
        <v>1.3412664774586756E-4</v>
      </c>
      <c r="K158" s="165">
        <v>167</v>
      </c>
      <c r="L158" s="165">
        <v>8</v>
      </c>
      <c r="M158" s="165">
        <v>169</v>
      </c>
      <c r="N158" s="165">
        <v>169</v>
      </c>
      <c r="O158" s="165">
        <v>196</v>
      </c>
      <c r="P158" s="165">
        <v>138</v>
      </c>
      <c r="Q158" s="166">
        <f t="shared" si="115"/>
        <v>-0.29591836734693877</v>
      </c>
      <c r="R158" s="166">
        <f t="shared" si="113"/>
        <v>8.1919772049329943E-5</v>
      </c>
      <c r="S158" s="165">
        <v>209</v>
      </c>
      <c r="T158" s="165">
        <v>241</v>
      </c>
      <c r="U158" s="165">
        <v>236</v>
      </c>
      <c r="V158" s="165">
        <v>258</v>
      </c>
      <c r="W158" s="165">
        <v>188</v>
      </c>
      <c r="X158" s="166">
        <f t="shared" si="116"/>
        <v>-0.27131782945736438</v>
      </c>
      <c r="Y158" s="166">
        <f t="shared" si="117"/>
        <v>9.1379376549621677E-5</v>
      </c>
    </row>
    <row r="159" spans="1:25" x14ac:dyDescent="0.25">
      <c r="A159" s="57"/>
      <c r="B159" s="164" t="s">
        <v>133</v>
      </c>
      <c r="C159" s="165">
        <v>56</v>
      </c>
      <c r="D159" s="165">
        <v>21</v>
      </c>
      <c r="E159" s="165">
        <v>56</v>
      </c>
      <c r="F159" s="165">
        <v>46</v>
      </c>
      <c r="G159" s="165">
        <v>44</v>
      </c>
      <c r="H159" s="165">
        <v>53</v>
      </c>
      <c r="I159" s="166">
        <f t="shared" si="114"/>
        <v>0.20454545454545459</v>
      </c>
      <c r="J159" s="166">
        <f t="shared" si="111"/>
        <v>1.421742466106196E-4</v>
      </c>
      <c r="K159" s="165">
        <v>221</v>
      </c>
      <c r="L159" s="165">
        <v>41</v>
      </c>
      <c r="M159" s="165">
        <v>326</v>
      </c>
      <c r="N159" s="165">
        <v>450</v>
      </c>
      <c r="O159" s="165">
        <v>323</v>
      </c>
      <c r="P159" s="165">
        <v>211</v>
      </c>
      <c r="Q159" s="166">
        <f t="shared" si="115"/>
        <v>-0.34674922600619196</v>
      </c>
      <c r="R159" s="166">
        <f t="shared" si="113"/>
        <v>1.2525414422035231E-4</v>
      </c>
      <c r="S159" s="165">
        <v>277</v>
      </c>
      <c r="T159" s="165">
        <v>382</v>
      </c>
      <c r="U159" s="165">
        <v>496</v>
      </c>
      <c r="V159" s="165">
        <v>367</v>
      </c>
      <c r="W159" s="165">
        <v>264</v>
      </c>
      <c r="X159" s="166">
        <f t="shared" si="116"/>
        <v>-0.28065395095367851</v>
      </c>
      <c r="Y159" s="166">
        <f t="shared" si="117"/>
        <v>1.2831997558031979E-4</v>
      </c>
    </row>
    <row r="160" spans="1:25" x14ac:dyDescent="0.25">
      <c r="A160" s="57"/>
      <c r="B160" s="169" t="s">
        <v>147</v>
      </c>
      <c r="C160" s="170">
        <f t="shared" ref="C160" si="118">C152-SUM(C153:C159)</f>
        <v>713</v>
      </c>
      <c r="D160" s="170">
        <f t="shared" ref="D160:H160" si="119">D152-SUM(D153:D159)</f>
        <v>658</v>
      </c>
      <c r="E160" s="170">
        <f t="shared" si="119"/>
        <v>2210</v>
      </c>
      <c r="F160" s="170">
        <f t="shared" si="119"/>
        <v>1963</v>
      </c>
      <c r="G160" s="170">
        <f t="shared" si="119"/>
        <v>3301</v>
      </c>
      <c r="H160" s="170">
        <f t="shared" si="119"/>
        <v>3459</v>
      </c>
      <c r="I160" s="171">
        <f t="shared" si="114"/>
        <v>4.7864283550439257E-2</v>
      </c>
      <c r="J160" s="171">
        <f t="shared" si="111"/>
        <v>9.278881491059118E-3</v>
      </c>
      <c r="K160" s="170">
        <f t="shared" ref="K160:P160" si="120">K152-SUM(K153:K159)</f>
        <v>1893</v>
      </c>
      <c r="L160" s="170">
        <f t="shared" si="120"/>
        <v>1924</v>
      </c>
      <c r="M160" s="170">
        <f t="shared" si="120"/>
        <v>2595</v>
      </c>
      <c r="N160" s="170">
        <f t="shared" si="120"/>
        <v>3491</v>
      </c>
      <c r="O160" s="170">
        <f t="shared" si="120"/>
        <v>4252</v>
      </c>
      <c r="P160" s="170">
        <f t="shared" si="120"/>
        <v>3916</v>
      </c>
      <c r="Q160" s="171">
        <f t="shared" si="115"/>
        <v>-7.902163687676389E-2</v>
      </c>
      <c r="R160" s="171">
        <f t="shared" si="113"/>
        <v>2.3246219372838849E-3</v>
      </c>
      <c r="S160" s="170">
        <f>S152-SUM(S153:S159)</f>
        <v>2606</v>
      </c>
      <c r="T160" s="170">
        <f>T152-SUM(T153:T159)</f>
        <v>4805</v>
      </c>
      <c r="U160" s="170">
        <f>U152-SUM(U153:U159)</f>
        <v>5454</v>
      </c>
      <c r="V160" s="170">
        <f>V152-SUM(V153:V159)</f>
        <v>7553</v>
      </c>
      <c r="W160" s="170">
        <f>W152-SUM(W153:W159)</f>
        <v>7375</v>
      </c>
      <c r="X160" s="171">
        <f t="shared" si="116"/>
        <v>-2.3566794651131984E-2</v>
      </c>
      <c r="Y160" s="171">
        <f t="shared" si="117"/>
        <v>3.5846962875184037E-3</v>
      </c>
    </row>
    <row r="161" spans="1:25" ht="6" customHeight="1" x14ac:dyDescent="0.25">
      <c r="A161" s="57"/>
      <c r="C161" s="81"/>
      <c r="D161" s="81"/>
      <c r="E161" s="81"/>
      <c r="F161" s="81"/>
      <c r="G161" s="81"/>
      <c r="H161" s="81"/>
      <c r="I161" s="81"/>
      <c r="K161" s="81"/>
      <c r="L161" s="81"/>
      <c r="M161" s="81"/>
      <c r="N161" s="81"/>
      <c r="O161" s="81"/>
      <c r="P161" s="81"/>
      <c r="Q161" s="81"/>
      <c r="S161" s="81"/>
      <c r="T161" s="81"/>
      <c r="U161" s="81"/>
      <c r="V161" s="81"/>
      <c r="W161" s="81"/>
      <c r="X161" s="81"/>
    </row>
    <row r="162" spans="1:25" ht="6" customHeight="1" x14ac:dyDescent="0.25">
      <c r="A162" s="57"/>
      <c r="B162" s="172"/>
      <c r="C162" s="172"/>
      <c r="D162" s="172"/>
      <c r="E162" s="172"/>
      <c r="F162" s="172"/>
      <c r="G162" s="172"/>
      <c r="H162" s="172"/>
      <c r="I162" s="172"/>
      <c r="J162" s="172"/>
      <c r="K162" s="172"/>
      <c r="L162" s="172"/>
      <c r="M162" s="172"/>
      <c r="N162" s="172"/>
      <c r="O162" s="172"/>
      <c r="P162" s="172"/>
      <c r="Q162" s="172"/>
      <c r="R162" s="172"/>
      <c r="S162" s="172"/>
      <c r="T162" s="172"/>
      <c r="U162" s="172"/>
      <c r="V162" s="172"/>
      <c r="W162" s="172"/>
      <c r="X162" s="172"/>
      <c r="Y162" s="172"/>
    </row>
    <row r="163" spans="1:25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</row>
  </sheetData>
  <mergeCells count="3">
    <mergeCell ref="C5:J5"/>
    <mergeCell ref="K5:R5"/>
    <mergeCell ref="S5:Y5"/>
  </mergeCells>
  <pageMargins left="0.25" right="0.25" top="0.75" bottom="0.75" header="0.3" footer="0.3"/>
  <pageSetup paperSize="9" scale="2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A0AF4-6A32-42A5-9E47-13A1C25FCA45}">
  <sheetPr>
    <tabColor theme="7" tint="0.79998168889431442"/>
    <pageSetUpPr fitToPage="1"/>
  </sheetPr>
  <dimension ref="A1:Z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26" width="10.5703125" customWidth="1"/>
  </cols>
  <sheetData>
    <row r="1" spans="1:26" ht="42.75" customHeight="1" x14ac:dyDescent="0.25"/>
    <row r="4" spans="1:26" ht="42" customHeight="1" thickBot="1" x14ac:dyDescent="0.3">
      <c r="B4" s="66" t="str">
        <f>CONCATENATE("Viajeros entrados en los establecimientos hoteleros de Tenerife según lugar de residencia, categoría y municipio del alojamiento")</f>
        <v>Viajeros entrados en los establecimientos hoteleros de Tenerife según lugar de residencia, categoría y municipio del alojamiento</v>
      </c>
      <c r="C4" s="145"/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5"/>
      <c r="Q4" s="145"/>
      <c r="R4" s="145"/>
      <c r="S4" s="145"/>
      <c r="T4" s="145"/>
      <c r="U4" s="145"/>
      <c r="V4" s="145"/>
      <c r="W4" s="145"/>
      <c r="X4" s="145"/>
      <c r="Y4" s="145"/>
      <c r="Z4" s="145"/>
    </row>
    <row r="5" spans="1:26" ht="6" customHeight="1" x14ac:dyDescent="0.25"/>
    <row r="6" spans="1:26" ht="15.75" x14ac:dyDescent="0.25">
      <c r="B6" s="185"/>
      <c r="C6" s="311" t="s">
        <v>64</v>
      </c>
      <c r="D6" s="312"/>
      <c r="E6" s="312"/>
      <c r="F6" s="312"/>
      <c r="G6" s="312"/>
      <c r="H6" s="312"/>
      <c r="I6" s="312"/>
      <c r="J6" s="312"/>
      <c r="K6" s="311" t="s">
        <v>63</v>
      </c>
      <c r="L6" s="312"/>
      <c r="M6" s="312"/>
      <c r="N6" s="312"/>
      <c r="O6" s="312"/>
      <c r="P6" s="312"/>
      <c r="Q6" s="312"/>
      <c r="R6" s="312"/>
      <c r="S6" s="311" t="s">
        <v>139</v>
      </c>
      <c r="T6" s="312"/>
      <c r="U6" s="312"/>
      <c r="V6" s="312"/>
      <c r="W6" s="312"/>
      <c r="X6" s="312"/>
      <c r="Y6" s="312"/>
      <c r="Z6" s="312"/>
    </row>
    <row r="7" spans="1:26" s="147" customFormat="1" ht="72" customHeight="1" x14ac:dyDescent="0.25">
      <c r="B7" s="148"/>
      <c r="C7" s="186">
        <f>D7-1</f>
        <v>2020</v>
      </c>
      <c r="D7" s="186">
        <f>E7-1</f>
        <v>2021</v>
      </c>
      <c r="E7" s="186">
        <f>F7-1</f>
        <v>2022</v>
      </c>
      <c r="F7" s="186">
        <f>G7-1</f>
        <v>2023</v>
      </c>
      <c r="G7" s="186">
        <v>2024</v>
      </c>
      <c r="H7" s="174" t="str">
        <f>CONCATENATE("var. ",RIGHT(G7,2),"/",RIGHT(F7,2))</f>
        <v>var. 24/23</v>
      </c>
      <c r="I7" s="174" t="str">
        <f>CONCATENATE("var. ",RIGHT(G7,2),"/",RIGHT(C7,2))</f>
        <v>var. 24/20</v>
      </c>
      <c r="J7" s="174" t="str">
        <f>CONCATENATE("Cuota s/ total lugares de residencia ",RIGHT(G7,4))</f>
        <v>Cuota s/ total lugares de residencia 2024</v>
      </c>
      <c r="K7" s="186">
        <f>L7-1</f>
        <v>2020</v>
      </c>
      <c r="L7" s="186">
        <f>M7-1</f>
        <v>2021</v>
      </c>
      <c r="M7" s="186">
        <f>N7-1</f>
        <v>2022</v>
      </c>
      <c r="N7" s="186">
        <f>O7-1</f>
        <v>2023</v>
      </c>
      <c r="O7" s="186">
        <v>2024</v>
      </c>
      <c r="P7" s="174" t="str">
        <f>CONCATENATE("var. ",RIGHT(O7,2),"/",RIGHT(N7,2))</f>
        <v>var. 24/23</v>
      </c>
      <c r="Q7" s="174" t="str">
        <f>CONCATENATE("var. ",RIGHT(O7,2),"/",RIGHT(K7,2))</f>
        <v>var. 24/20</v>
      </c>
      <c r="R7" s="174" t="str">
        <f>CONCATENATE("Cuota s/ total lugares de residencia ",RIGHT(O7,4))</f>
        <v>Cuota s/ total lugares de residencia 2024</v>
      </c>
      <c r="S7" s="186">
        <f>T7-1</f>
        <v>2020</v>
      </c>
      <c r="T7" s="186">
        <f>U7-1</f>
        <v>2021</v>
      </c>
      <c r="U7" s="186">
        <f>V7-1</f>
        <v>2022</v>
      </c>
      <c r="V7" s="186">
        <f>W7-1</f>
        <v>2023</v>
      </c>
      <c r="W7" s="186">
        <v>2024</v>
      </c>
      <c r="X7" s="174" t="str">
        <f>CONCATENATE("var. ",RIGHT(W7,2),"/",RIGHT(V7,2))</f>
        <v>var. 24/23</v>
      </c>
      <c r="Y7" s="174" t="str">
        <f>CONCATENATE("var. ",RIGHT(W7,2),"/",RIGHT(S7,2))</f>
        <v>var. 24/20</v>
      </c>
      <c r="Z7" s="174" t="str">
        <f>CONCATENATE("Cuota s/ total lugares de residencia ",RIGHT(U7,4))</f>
        <v>Cuota s/ total lugares de residencia 2022</v>
      </c>
    </row>
    <row r="8" spans="1:26" x14ac:dyDescent="0.25">
      <c r="A8" s="1"/>
      <c r="B8" s="153" t="s">
        <v>45</v>
      </c>
      <c r="C8" s="154"/>
      <c r="D8" s="154"/>
      <c r="E8" s="154"/>
      <c r="F8" s="154"/>
      <c r="G8" s="154"/>
      <c r="H8" s="154"/>
      <c r="I8" s="154"/>
      <c r="J8" s="154"/>
      <c r="K8" s="154"/>
      <c r="L8" s="154"/>
      <c r="M8" s="154"/>
      <c r="N8" s="154"/>
      <c r="O8" s="154"/>
      <c r="P8" s="154"/>
      <c r="Q8" s="154"/>
      <c r="R8" s="154"/>
      <c r="S8" s="154"/>
      <c r="T8" s="154"/>
      <c r="U8" s="154"/>
      <c r="V8" s="154"/>
      <c r="W8" s="154"/>
      <c r="X8" s="154"/>
      <c r="Y8" s="154"/>
      <c r="Z8" s="154"/>
    </row>
    <row r="9" spans="1:26" x14ac:dyDescent="0.25">
      <c r="A9" s="1" t="s">
        <v>0</v>
      </c>
      <c r="B9" s="157" t="s">
        <v>70</v>
      </c>
      <c r="C9" s="177">
        <f>C10+C13</f>
        <v>244233</v>
      </c>
      <c r="D9" s="177">
        <f>D10+D13</f>
        <v>332855</v>
      </c>
      <c r="E9" s="177">
        <f>E10+E13</f>
        <v>672483</v>
      </c>
      <c r="F9" s="177">
        <f>F10+F13</f>
        <v>738404</v>
      </c>
      <c r="G9" s="177">
        <f>G10+G13</f>
        <v>758810</v>
      </c>
      <c r="H9" s="178">
        <f>IFERROR(G9/F9-1,"-")</f>
        <v>2.763527824876344E-2</v>
      </c>
      <c r="I9" s="178">
        <f>IFERROR(G9/C9-1,"-")</f>
        <v>2.1069102045997061</v>
      </c>
      <c r="J9" s="178">
        <f>G9/G$9</f>
        <v>1</v>
      </c>
      <c r="K9" s="177">
        <f>K10+K13</f>
        <v>956053</v>
      </c>
      <c r="L9" s="177">
        <f>L10+L13</f>
        <v>1525176</v>
      </c>
      <c r="M9" s="177">
        <f>M10+M13</f>
        <v>3104390</v>
      </c>
      <c r="N9" s="177">
        <f>N10+N13</f>
        <v>3350154</v>
      </c>
      <c r="O9" s="177">
        <f>O10+O13</f>
        <v>3520830</v>
      </c>
      <c r="P9" s="178">
        <f>IFERROR(O9/N9-1,"-")</f>
        <v>5.0945717719245165E-2</v>
      </c>
      <c r="Q9" s="178">
        <f>IFERROR(O9/K9-1,"-")</f>
        <v>2.6826724041449586</v>
      </c>
      <c r="R9" s="178">
        <f>O9/O$9</f>
        <v>1</v>
      </c>
      <c r="S9" s="177">
        <f>S10+S13</f>
        <v>1200286</v>
      </c>
      <c r="T9" s="177">
        <f>T10+T13</f>
        <v>1858031</v>
      </c>
      <c r="U9" s="177">
        <f>U10+U13</f>
        <v>3776873</v>
      </c>
      <c r="V9" s="177">
        <f>V10+V13</f>
        <v>4088558</v>
      </c>
      <c r="W9" s="177">
        <f>W10+W13</f>
        <v>4279640</v>
      </c>
      <c r="X9" s="178">
        <f>IFERROR(W9/V9-1,"-")</f>
        <v>4.6735792912806939E-2</v>
      </c>
      <c r="Y9" s="178">
        <f>IFERROR(W9/S9-1,"-")</f>
        <v>2.5655168851423742</v>
      </c>
      <c r="Z9" s="178">
        <f t="shared" ref="Z9:Z21" si="0">U9/U$9</f>
        <v>1</v>
      </c>
    </row>
    <row r="10" spans="1:26" x14ac:dyDescent="0.25">
      <c r="A10" s="1" t="s">
        <v>98</v>
      </c>
      <c r="B10" s="160" t="s">
        <v>99</v>
      </c>
      <c r="C10" s="161">
        <v>79595</v>
      </c>
      <c r="D10" s="161">
        <v>119848</v>
      </c>
      <c r="E10" s="161">
        <v>173672</v>
      </c>
      <c r="F10" s="161">
        <v>206738</v>
      </c>
      <c r="G10" s="161">
        <v>212287</v>
      </c>
      <c r="H10" s="162">
        <f>IFERROR(G10/F10-1,"-")</f>
        <v>2.684073561706124E-2</v>
      </c>
      <c r="I10" s="179">
        <f t="shared" ref="I10:I73" si="1">IFERROR(G10/C10-1,"-")</f>
        <v>1.6670896413091274</v>
      </c>
      <c r="J10" s="162">
        <f>G10/G$9</f>
        <v>0.27976305003887664</v>
      </c>
      <c r="K10" s="161">
        <v>297299</v>
      </c>
      <c r="L10" s="161">
        <v>549418</v>
      </c>
      <c r="M10" s="161">
        <v>688398</v>
      </c>
      <c r="N10" s="161">
        <v>674557</v>
      </c>
      <c r="O10" s="161">
        <v>676316</v>
      </c>
      <c r="P10" s="162">
        <f>IFERROR(O10/N10-1,"-")</f>
        <v>2.6076373086336702E-3</v>
      </c>
      <c r="Q10" s="179">
        <f t="shared" ref="Q10:Q21" si="2">IFERROR(O10/K10-1,"-")</f>
        <v>1.2748680621192805</v>
      </c>
      <c r="R10" s="162">
        <f>O10/O$9</f>
        <v>0.19208993333958185</v>
      </c>
      <c r="S10" s="161">
        <v>376894</v>
      </c>
      <c r="T10" s="161">
        <v>669266</v>
      </c>
      <c r="U10" s="161">
        <v>862070</v>
      </c>
      <c r="V10" s="161">
        <v>881295</v>
      </c>
      <c r="W10" s="161">
        <v>888603</v>
      </c>
      <c r="X10" s="162">
        <f>IFERROR(W10/V10-1,"-")</f>
        <v>8.2923425186798294E-3</v>
      </c>
      <c r="Y10" s="179">
        <f t="shared" ref="Y10:Y21" si="3">IFERROR(W10/S10-1,"-")</f>
        <v>1.3577000429829078</v>
      </c>
      <c r="Z10" s="162">
        <f t="shared" si="0"/>
        <v>0.2282496657949579</v>
      </c>
    </row>
    <row r="11" spans="1:26" x14ac:dyDescent="0.25">
      <c r="A11" s="163" t="s">
        <v>105</v>
      </c>
      <c r="B11" s="164" t="s">
        <v>105</v>
      </c>
      <c r="C11" s="165">
        <v>38726</v>
      </c>
      <c r="D11" s="165">
        <v>76913</v>
      </c>
      <c r="E11" s="165">
        <v>97401</v>
      </c>
      <c r="F11" s="165">
        <v>116854</v>
      </c>
      <c r="G11" s="165">
        <v>118239</v>
      </c>
      <c r="H11" s="166">
        <f>IFERROR(G11/F11-1,"-")</f>
        <v>1.1852397008232485E-2</v>
      </c>
      <c r="I11" s="180">
        <f t="shared" si="1"/>
        <v>2.0532200588751741</v>
      </c>
      <c r="J11" s="166">
        <f>G11/G$9</f>
        <v>0.15582161542415096</v>
      </c>
      <c r="K11" s="165">
        <v>112436</v>
      </c>
      <c r="L11" s="165">
        <v>248239</v>
      </c>
      <c r="M11" s="165">
        <v>235468</v>
      </c>
      <c r="N11" s="165">
        <v>223216</v>
      </c>
      <c r="O11" s="165">
        <v>221092</v>
      </c>
      <c r="P11" s="166">
        <f>IFERROR(O11/N11-1,"-")</f>
        <v>-9.5154469213676318E-3</v>
      </c>
      <c r="Q11" s="180">
        <f t="shared" si="2"/>
        <v>0.96638087445302223</v>
      </c>
      <c r="R11" s="166">
        <f>O11/O$9</f>
        <v>6.279542039803114E-2</v>
      </c>
      <c r="S11" s="165">
        <v>151162</v>
      </c>
      <c r="T11" s="165">
        <v>325152</v>
      </c>
      <c r="U11" s="165">
        <v>332869</v>
      </c>
      <c r="V11" s="165">
        <v>340070</v>
      </c>
      <c r="W11" s="165">
        <v>339331</v>
      </c>
      <c r="X11" s="166">
        <f>IFERROR(W11/V11-1,"-")</f>
        <v>-2.1730820125268613E-3</v>
      </c>
      <c r="Y11" s="180">
        <f t="shared" si="3"/>
        <v>1.2448168190418225</v>
      </c>
      <c r="Z11" s="166">
        <f t="shared" si="0"/>
        <v>8.8133490323873742E-2</v>
      </c>
    </row>
    <row r="12" spans="1:26" x14ac:dyDescent="0.25">
      <c r="A12" s="163" t="s">
        <v>102</v>
      </c>
      <c r="B12" s="164" t="s">
        <v>102</v>
      </c>
      <c r="C12" s="165">
        <v>40869</v>
      </c>
      <c r="D12" s="165">
        <v>42935</v>
      </c>
      <c r="E12" s="165">
        <v>76271</v>
      </c>
      <c r="F12" s="165">
        <v>89884</v>
      </c>
      <c r="G12" s="165">
        <v>94048</v>
      </c>
      <c r="H12" s="166">
        <f>IFERROR(G12/F12-1,"-")</f>
        <v>4.6326376218236875E-2</v>
      </c>
      <c r="I12" s="180">
        <f t="shared" si="1"/>
        <v>1.3012062932785242</v>
      </c>
      <c r="J12" s="166">
        <f>G12/G$9</f>
        <v>0.12394143461472569</v>
      </c>
      <c r="K12" s="165">
        <v>184863</v>
      </c>
      <c r="L12" s="165">
        <v>301179</v>
      </c>
      <c r="M12" s="165">
        <v>452930</v>
      </c>
      <c r="N12" s="165">
        <v>451341</v>
      </c>
      <c r="O12" s="165">
        <v>455224</v>
      </c>
      <c r="P12" s="166">
        <f>IFERROR(O12/N12-1,"-")</f>
        <v>8.6032512003120232E-3</v>
      </c>
      <c r="Q12" s="180">
        <f t="shared" si="2"/>
        <v>1.4624938467946533</v>
      </c>
      <c r="R12" s="166">
        <f>O12/O$9</f>
        <v>0.12929451294155073</v>
      </c>
      <c r="S12" s="165">
        <v>225732</v>
      </c>
      <c r="T12" s="165">
        <v>344114</v>
      </c>
      <c r="U12" s="165">
        <v>529201</v>
      </c>
      <c r="V12" s="165">
        <v>541225</v>
      </c>
      <c r="W12" s="165">
        <v>549272</v>
      </c>
      <c r="X12" s="166">
        <f>IFERROR(W12/V12-1,"-")</f>
        <v>1.4868123238948705E-2</v>
      </c>
      <c r="Y12" s="180">
        <f t="shared" si="3"/>
        <v>1.4332925770382579</v>
      </c>
      <c r="Z12" s="166">
        <f t="shared" si="0"/>
        <v>0.14011617547108415</v>
      </c>
    </row>
    <row r="13" spans="1:26" x14ac:dyDescent="0.25">
      <c r="A13" s="1" t="s">
        <v>148</v>
      </c>
      <c r="B13" s="160" t="s">
        <v>109</v>
      </c>
      <c r="C13" s="161">
        <v>164638</v>
      </c>
      <c r="D13" s="161">
        <v>213007</v>
      </c>
      <c r="E13" s="161">
        <v>498811</v>
      </c>
      <c r="F13" s="161">
        <v>531666</v>
      </c>
      <c r="G13" s="161">
        <v>546523</v>
      </c>
      <c r="H13" s="162">
        <f>IFERROR(G13/F13-1,"-")</f>
        <v>2.7944235666753192E-2</v>
      </c>
      <c r="I13" s="179">
        <f t="shared" si="1"/>
        <v>2.3195434832784656</v>
      </c>
      <c r="J13" s="162">
        <f>G13/G$9</f>
        <v>0.72023694996112331</v>
      </c>
      <c r="K13" s="161">
        <v>658754</v>
      </c>
      <c r="L13" s="161">
        <v>975758</v>
      </c>
      <c r="M13" s="161">
        <v>2415992</v>
      </c>
      <c r="N13" s="161">
        <v>2675597</v>
      </c>
      <c r="O13" s="161">
        <v>2844514</v>
      </c>
      <c r="P13" s="162">
        <f>IFERROR(O13/N13-1,"-")</f>
        <v>6.3132452308774401E-2</v>
      </c>
      <c r="Q13" s="179">
        <f t="shared" si="2"/>
        <v>3.3180215983508257</v>
      </c>
      <c r="R13" s="162">
        <f>O13/O$9</f>
        <v>0.80791006666041809</v>
      </c>
      <c r="S13" s="161">
        <v>823392</v>
      </c>
      <c r="T13" s="161">
        <v>1188765</v>
      </c>
      <c r="U13" s="161">
        <v>2914803</v>
      </c>
      <c r="V13" s="161">
        <v>3207263</v>
      </c>
      <c r="W13" s="161">
        <v>3391037</v>
      </c>
      <c r="X13" s="162">
        <f>IFERROR(W13/V13-1,"-")</f>
        <v>5.7299323441825534E-2</v>
      </c>
      <c r="Y13" s="179">
        <f t="shared" si="3"/>
        <v>3.1183749659943256</v>
      </c>
      <c r="Z13" s="162">
        <f t="shared" si="0"/>
        <v>0.77175033420504213</v>
      </c>
    </row>
    <row r="14" spans="1:26" x14ac:dyDescent="0.25">
      <c r="A14" s="163" t="s">
        <v>112</v>
      </c>
      <c r="B14" s="164" t="s">
        <v>112</v>
      </c>
      <c r="C14" s="165">
        <v>55984</v>
      </c>
      <c r="D14" s="165">
        <v>51463</v>
      </c>
      <c r="E14" s="165">
        <v>185404</v>
      </c>
      <c r="F14" s="165">
        <v>205688</v>
      </c>
      <c r="G14" s="165">
        <v>204540</v>
      </c>
      <c r="H14" s="166">
        <f t="shared" ref="H14:H21" si="4">IFERROR(G14/F14-1,"-")</f>
        <v>-5.5812687176695075E-3</v>
      </c>
      <c r="I14" s="180">
        <f t="shared" si="1"/>
        <v>2.6535438696770508</v>
      </c>
      <c r="J14" s="166">
        <f t="shared" ref="J14:J21" si="5">G14/G$9</f>
        <v>0.26955364320449127</v>
      </c>
      <c r="K14" s="165">
        <v>260474</v>
      </c>
      <c r="L14" s="165">
        <v>284717</v>
      </c>
      <c r="M14" s="165">
        <v>1132692</v>
      </c>
      <c r="N14" s="165">
        <v>1254072</v>
      </c>
      <c r="O14" s="165">
        <v>1327265</v>
      </c>
      <c r="P14" s="166">
        <f t="shared" ref="P14:P21" si="6">IFERROR(O14/N14-1,"-")</f>
        <v>5.8364272545754936E-2</v>
      </c>
      <c r="Q14" s="180">
        <f t="shared" si="2"/>
        <v>4.0955757580411101</v>
      </c>
      <c r="R14" s="166">
        <f t="shared" ref="R14:R21" si="7">O14/O$9</f>
        <v>0.37697503145565109</v>
      </c>
      <c r="S14" s="165">
        <v>316458</v>
      </c>
      <c r="T14" s="165">
        <v>336180</v>
      </c>
      <c r="U14" s="165">
        <v>1318096</v>
      </c>
      <c r="V14" s="165">
        <v>1459760</v>
      </c>
      <c r="W14" s="165">
        <v>1531805</v>
      </c>
      <c r="X14" s="166">
        <f t="shared" ref="X14:X21" si="8">IFERROR(W14/V14-1,"-")</f>
        <v>4.9354003397818813E-2</v>
      </c>
      <c r="Y14" s="180">
        <f t="shared" si="3"/>
        <v>3.8404685613888727</v>
      </c>
      <c r="Z14" s="166">
        <f t="shared" si="0"/>
        <v>0.34899134813376037</v>
      </c>
    </row>
    <row r="15" spans="1:26" x14ac:dyDescent="0.25">
      <c r="A15" s="163" t="s">
        <v>115</v>
      </c>
      <c r="B15" s="164" t="s">
        <v>115</v>
      </c>
      <c r="C15" s="165">
        <v>24167</v>
      </c>
      <c r="D15" s="165">
        <v>38221</v>
      </c>
      <c r="E15" s="165">
        <v>64721</v>
      </c>
      <c r="F15" s="165">
        <v>72627</v>
      </c>
      <c r="G15" s="165">
        <v>73563</v>
      </c>
      <c r="H15" s="166">
        <f t="shared" si="4"/>
        <v>1.2887769011524552E-2</v>
      </c>
      <c r="I15" s="180">
        <f t="shared" si="1"/>
        <v>2.0439442214590144</v>
      </c>
      <c r="J15" s="166">
        <f t="shared" si="5"/>
        <v>9.6945216852703575E-2</v>
      </c>
      <c r="K15" s="165">
        <v>92917</v>
      </c>
      <c r="L15" s="165">
        <v>156330</v>
      </c>
      <c r="M15" s="165">
        <v>274306</v>
      </c>
      <c r="N15" s="165">
        <v>309168</v>
      </c>
      <c r="O15" s="165">
        <v>317350</v>
      </c>
      <c r="P15" s="166">
        <f t="shared" si="6"/>
        <v>2.6464575894012299E-2</v>
      </c>
      <c r="Q15" s="180">
        <f t="shared" si="2"/>
        <v>2.4154137563632059</v>
      </c>
      <c r="R15" s="166">
        <f t="shared" si="7"/>
        <v>9.0134996577511547E-2</v>
      </c>
      <c r="S15" s="165">
        <v>117084</v>
      </c>
      <c r="T15" s="165">
        <v>194551</v>
      </c>
      <c r="U15" s="165">
        <v>339027</v>
      </c>
      <c r="V15" s="165">
        <v>381795</v>
      </c>
      <c r="W15" s="165">
        <v>390913</v>
      </c>
      <c r="X15" s="166">
        <f t="shared" si="8"/>
        <v>2.388192616456486E-2</v>
      </c>
      <c r="Y15" s="180">
        <f t="shared" si="3"/>
        <v>2.3387397082436543</v>
      </c>
      <c r="Z15" s="166">
        <f t="shared" si="0"/>
        <v>8.9763939640014376E-2</v>
      </c>
    </row>
    <row r="16" spans="1:26" x14ac:dyDescent="0.25">
      <c r="A16" s="163" t="s">
        <v>118</v>
      </c>
      <c r="B16" s="164" t="s">
        <v>118</v>
      </c>
      <c r="C16" s="165">
        <v>11046</v>
      </c>
      <c r="D16" s="165">
        <v>21498</v>
      </c>
      <c r="E16" s="165">
        <v>31998</v>
      </c>
      <c r="F16" s="165">
        <v>34482</v>
      </c>
      <c r="G16" s="165">
        <v>33626</v>
      </c>
      <c r="H16" s="166">
        <f t="shared" si="4"/>
        <v>-2.4824546140015058E-2</v>
      </c>
      <c r="I16" s="180">
        <f t="shared" si="1"/>
        <v>2.044178888285352</v>
      </c>
      <c r="J16" s="166">
        <f t="shared" si="5"/>
        <v>4.4314123430107669E-2</v>
      </c>
      <c r="K16" s="165">
        <v>37740</v>
      </c>
      <c r="L16" s="165">
        <v>83736</v>
      </c>
      <c r="M16" s="165">
        <v>134432</v>
      </c>
      <c r="N16" s="165">
        <v>142823</v>
      </c>
      <c r="O16" s="165">
        <v>158899</v>
      </c>
      <c r="P16" s="166">
        <f t="shared" si="6"/>
        <v>0.11255890157747706</v>
      </c>
      <c r="Q16" s="180">
        <f t="shared" si="2"/>
        <v>3.2103603603603608</v>
      </c>
      <c r="R16" s="166">
        <f t="shared" si="7"/>
        <v>4.5131119650764169E-2</v>
      </c>
      <c r="S16" s="165">
        <v>48786</v>
      </c>
      <c r="T16" s="165">
        <v>105234</v>
      </c>
      <c r="U16" s="165">
        <v>166430</v>
      </c>
      <c r="V16" s="165">
        <v>177305</v>
      </c>
      <c r="W16" s="165">
        <v>192525</v>
      </c>
      <c r="X16" s="166">
        <f t="shared" si="8"/>
        <v>8.5840782831843487E-2</v>
      </c>
      <c r="Y16" s="180">
        <f t="shared" si="3"/>
        <v>2.9463165662280164</v>
      </c>
      <c r="Z16" s="166">
        <f t="shared" si="0"/>
        <v>4.4065553700111178E-2</v>
      </c>
    </row>
    <row r="17" spans="1:26" x14ac:dyDescent="0.25">
      <c r="A17" s="163" t="s">
        <v>125</v>
      </c>
      <c r="B17" s="164" t="s">
        <v>125</v>
      </c>
      <c r="C17" s="165">
        <v>4317</v>
      </c>
      <c r="D17" s="165">
        <v>10076</v>
      </c>
      <c r="E17" s="165">
        <v>19335</v>
      </c>
      <c r="F17" s="165">
        <v>14809</v>
      </c>
      <c r="G17" s="165">
        <v>14135</v>
      </c>
      <c r="H17" s="166">
        <f t="shared" si="4"/>
        <v>-4.551286379904107E-2</v>
      </c>
      <c r="I17" s="180">
        <f t="shared" si="1"/>
        <v>2.2742645355570996</v>
      </c>
      <c r="J17" s="166">
        <f t="shared" si="5"/>
        <v>1.8627851504329145E-2</v>
      </c>
      <c r="K17" s="165">
        <v>23237</v>
      </c>
      <c r="L17" s="165">
        <v>56946</v>
      </c>
      <c r="M17" s="165">
        <v>104116</v>
      </c>
      <c r="N17" s="165">
        <v>102844</v>
      </c>
      <c r="O17" s="165">
        <v>113442</v>
      </c>
      <c r="P17" s="166">
        <f t="shared" si="6"/>
        <v>0.10304927851892187</v>
      </c>
      <c r="Q17" s="180">
        <f t="shared" si="2"/>
        <v>3.8819555020011185</v>
      </c>
      <c r="R17" s="166">
        <f t="shared" si="7"/>
        <v>3.2220243522124048E-2</v>
      </c>
      <c r="S17" s="165">
        <v>27554</v>
      </c>
      <c r="T17" s="165">
        <v>67022</v>
      </c>
      <c r="U17" s="165">
        <v>123451</v>
      </c>
      <c r="V17" s="165">
        <v>117653</v>
      </c>
      <c r="W17" s="165">
        <v>127577</v>
      </c>
      <c r="X17" s="166">
        <f t="shared" si="8"/>
        <v>8.4349740338112822E-2</v>
      </c>
      <c r="Y17" s="180">
        <f t="shared" si="3"/>
        <v>3.6300718588952599</v>
      </c>
      <c r="Z17" s="166">
        <f t="shared" si="0"/>
        <v>3.2686034187540861E-2</v>
      </c>
    </row>
    <row r="18" spans="1:26" x14ac:dyDescent="0.25">
      <c r="A18" s="163" t="s">
        <v>121</v>
      </c>
      <c r="B18" s="164" t="s">
        <v>121</v>
      </c>
      <c r="C18" s="165">
        <v>5016</v>
      </c>
      <c r="D18" s="165">
        <v>6294</v>
      </c>
      <c r="E18" s="165">
        <v>10411</v>
      </c>
      <c r="F18" s="165">
        <v>10569</v>
      </c>
      <c r="G18" s="165">
        <v>9946</v>
      </c>
      <c r="H18" s="166">
        <f t="shared" si="4"/>
        <v>-5.8945974075125362E-2</v>
      </c>
      <c r="I18" s="180">
        <f t="shared" si="1"/>
        <v>0.98285486443381176</v>
      </c>
      <c r="J18" s="166">
        <f t="shared" si="5"/>
        <v>1.3107365480159724E-2</v>
      </c>
      <c r="K18" s="165">
        <v>43640</v>
      </c>
      <c r="L18" s="165">
        <v>77431</v>
      </c>
      <c r="M18" s="165">
        <v>120097</v>
      </c>
      <c r="N18" s="165">
        <v>123841</v>
      </c>
      <c r="O18" s="165">
        <v>130344</v>
      </c>
      <c r="P18" s="166">
        <f t="shared" si="6"/>
        <v>5.2510880887589817E-2</v>
      </c>
      <c r="Q18" s="180">
        <f t="shared" si="2"/>
        <v>1.986801099908341</v>
      </c>
      <c r="R18" s="166">
        <f t="shared" si="7"/>
        <v>3.702081611438212E-2</v>
      </c>
      <c r="S18" s="165">
        <v>48656</v>
      </c>
      <c r="T18" s="165">
        <v>83725</v>
      </c>
      <c r="U18" s="165">
        <v>130508</v>
      </c>
      <c r="V18" s="165">
        <v>134410</v>
      </c>
      <c r="W18" s="165">
        <v>140290</v>
      </c>
      <c r="X18" s="166">
        <f t="shared" si="8"/>
        <v>4.3746745033851564E-2</v>
      </c>
      <c r="Y18" s="180">
        <f t="shared" si="3"/>
        <v>1.883303189740217</v>
      </c>
      <c r="Z18" s="166">
        <f t="shared" si="0"/>
        <v>3.4554511099525981E-2</v>
      </c>
    </row>
    <row r="19" spans="1:26" x14ac:dyDescent="0.25">
      <c r="A19" s="163" t="s">
        <v>130</v>
      </c>
      <c r="B19" s="164" t="s">
        <v>130</v>
      </c>
      <c r="C19" s="165">
        <v>3325</v>
      </c>
      <c r="D19" s="165">
        <v>2149</v>
      </c>
      <c r="E19" s="165">
        <v>5595</v>
      </c>
      <c r="F19" s="165">
        <v>6021</v>
      </c>
      <c r="G19" s="165">
        <v>5523</v>
      </c>
      <c r="H19" s="166">
        <f t="shared" si="4"/>
        <v>-8.2710513203786751E-2</v>
      </c>
      <c r="I19" s="180">
        <f t="shared" si="1"/>
        <v>0.66105263157894734</v>
      </c>
      <c r="J19" s="166">
        <f t="shared" si="5"/>
        <v>7.2785018647619302E-3</v>
      </c>
      <c r="K19" s="165">
        <v>14961</v>
      </c>
      <c r="L19" s="165">
        <v>12822</v>
      </c>
      <c r="M19" s="165">
        <v>35340</v>
      </c>
      <c r="N19" s="165">
        <v>38436</v>
      </c>
      <c r="O19" s="165">
        <v>36028</v>
      </c>
      <c r="P19" s="166">
        <f t="shared" si="6"/>
        <v>-6.2649599333957751E-2</v>
      </c>
      <c r="Q19" s="180">
        <f t="shared" si="2"/>
        <v>1.4081277989439207</v>
      </c>
      <c r="R19" s="166">
        <f t="shared" si="7"/>
        <v>1.0232814421599453E-2</v>
      </c>
      <c r="S19" s="165">
        <v>18286</v>
      </c>
      <c r="T19" s="165">
        <v>14971</v>
      </c>
      <c r="U19" s="165">
        <v>40935</v>
      </c>
      <c r="V19" s="165">
        <v>44457</v>
      </c>
      <c r="W19" s="165">
        <v>41551</v>
      </c>
      <c r="X19" s="166">
        <f t="shared" si="8"/>
        <v>-6.5366533954157924E-2</v>
      </c>
      <c r="Y19" s="180">
        <f t="shared" si="3"/>
        <v>1.2722848080498741</v>
      </c>
      <c r="Z19" s="166">
        <f t="shared" si="0"/>
        <v>1.0838331074409967E-2</v>
      </c>
    </row>
    <row r="20" spans="1:26" x14ac:dyDescent="0.25">
      <c r="A20" s="163" t="s">
        <v>133</v>
      </c>
      <c r="B20" s="164" t="s">
        <v>133</v>
      </c>
      <c r="C20" s="165">
        <v>3428</v>
      </c>
      <c r="D20" s="165">
        <v>1763</v>
      </c>
      <c r="E20" s="165">
        <v>3453</v>
      </c>
      <c r="F20" s="165">
        <v>4406</v>
      </c>
      <c r="G20" s="165">
        <v>3638</v>
      </c>
      <c r="H20" s="166">
        <f t="shared" si="4"/>
        <v>-0.17430776214253296</v>
      </c>
      <c r="I20" s="180">
        <f t="shared" si="1"/>
        <v>6.1260210035005924E-2</v>
      </c>
      <c r="J20" s="166">
        <f t="shared" si="5"/>
        <v>4.7943490465333881E-3</v>
      </c>
      <c r="K20" s="165">
        <v>22112</v>
      </c>
      <c r="L20" s="165">
        <v>10721</v>
      </c>
      <c r="M20" s="165">
        <v>31821</v>
      </c>
      <c r="N20" s="165">
        <v>40312</v>
      </c>
      <c r="O20" s="165">
        <v>37135</v>
      </c>
      <c r="P20" s="166">
        <f t="shared" si="6"/>
        <v>-7.8810279817424056E-2</v>
      </c>
      <c r="Q20" s="180">
        <f t="shared" si="2"/>
        <v>0.67940484804630974</v>
      </c>
      <c r="R20" s="166">
        <f t="shared" si="7"/>
        <v>1.0547228920453415E-2</v>
      </c>
      <c r="S20" s="165">
        <v>25540</v>
      </c>
      <c r="T20" s="165">
        <v>12484</v>
      </c>
      <c r="U20" s="165">
        <v>35274</v>
      </c>
      <c r="V20" s="165">
        <v>44718</v>
      </c>
      <c r="W20" s="165">
        <v>40773</v>
      </c>
      <c r="X20" s="166">
        <f t="shared" si="8"/>
        <v>-8.8219508922581458E-2</v>
      </c>
      <c r="Y20" s="180">
        <f t="shared" si="3"/>
        <v>0.59643696162881743</v>
      </c>
      <c r="Z20" s="166">
        <f t="shared" si="0"/>
        <v>9.3394720976850421E-3</v>
      </c>
    </row>
    <row r="21" spans="1:26" x14ac:dyDescent="0.25">
      <c r="A21" s="168" t="s">
        <v>147</v>
      </c>
      <c r="B21" s="169" t="s">
        <v>147</v>
      </c>
      <c r="C21" s="170">
        <f>C13-SUM(C14:C20)</f>
        <v>57355</v>
      </c>
      <c r="D21" s="170">
        <f>D13-SUM(D14:D20)</f>
        <v>81543</v>
      </c>
      <c r="E21" s="170">
        <f>E13-SUM(E14:E20)</f>
        <v>177894</v>
      </c>
      <c r="F21" s="170">
        <f>F13-SUM(F14:F20)</f>
        <v>183064</v>
      </c>
      <c r="G21" s="170">
        <f>G13-SUM(G14:G20)</f>
        <v>201552</v>
      </c>
      <c r="H21" s="171">
        <f t="shared" si="4"/>
        <v>0.10099200279683607</v>
      </c>
      <c r="I21" s="181">
        <f t="shared" si="1"/>
        <v>2.5141138523232498</v>
      </c>
      <c r="J21" s="171">
        <f t="shared" si="5"/>
        <v>0.26561589857803664</v>
      </c>
      <c r="K21" s="170">
        <f>K13-SUM(K14:K20)</f>
        <v>163673</v>
      </c>
      <c r="L21" s="170">
        <f>L13-SUM(L14:L20)</f>
        <v>293055</v>
      </c>
      <c r="M21" s="170">
        <f>M13-SUM(M14:M20)</f>
        <v>583188</v>
      </c>
      <c r="N21" s="170">
        <f>N13-SUM(N14:N20)</f>
        <v>664101</v>
      </c>
      <c r="O21" s="170">
        <f>O13-SUM(O14:O20)</f>
        <v>724051</v>
      </c>
      <c r="P21" s="171">
        <f t="shared" si="6"/>
        <v>9.0272413382904038E-2</v>
      </c>
      <c r="Q21" s="181">
        <f t="shared" si="2"/>
        <v>3.4237656791285058</v>
      </c>
      <c r="R21" s="171">
        <f t="shared" si="7"/>
        <v>0.2056478159979323</v>
      </c>
      <c r="S21" s="170">
        <f>S13-SUM(S14:S20)</f>
        <v>221028</v>
      </c>
      <c r="T21" s="170">
        <f>T13-SUM(T14:T20)</f>
        <v>374598</v>
      </c>
      <c r="U21" s="170">
        <f>U13-SUM(U14:U20)</f>
        <v>761082</v>
      </c>
      <c r="V21" s="170">
        <f>V13-SUM(V14:V20)</f>
        <v>847165</v>
      </c>
      <c r="W21" s="170">
        <f>W13-SUM(W14:W20)</f>
        <v>925603</v>
      </c>
      <c r="X21" s="171">
        <f t="shared" si="8"/>
        <v>9.258881091640947E-2</v>
      </c>
      <c r="Y21" s="181">
        <f t="shared" si="3"/>
        <v>3.1877182981341727</v>
      </c>
      <c r="Z21" s="171">
        <f t="shared" si="0"/>
        <v>0.20151114427199432</v>
      </c>
    </row>
    <row r="22" spans="1:26" x14ac:dyDescent="0.25">
      <c r="A22" s="1"/>
      <c r="B22" s="156" t="s">
        <v>46</v>
      </c>
      <c r="C22" s="154"/>
      <c r="D22" s="154"/>
      <c r="E22" s="154"/>
      <c r="F22" s="154"/>
      <c r="G22" s="154"/>
      <c r="H22" s="154"/>
      <c r="I22" s="154"/>
      <c r="J22" s="154"/>
      <c r="K22" s="154"/>
      <c r="L22" s="154"/>
      <c r="M22" s="154"/>
      <c r="N22" s="154"/>
      <c r="O22" s="154"/>
      <c r="P22" s="154"/>
      <c r="Q22" s="154"/>
      <c r="R22" s="154"/>
      <c r="S22" s="154"/>
      <c r="T22" s="154"/>
      <c r="U22" s="154"/>
      <c r="V22" s="154"/>
      <c r="W22" s="154"/>
      <c r="X22" s="154"/>
      <c r="Y22" s="154"/>
      <c r="Z22" s="154"/>
    </row>
    <row r="23" spans="1:26" x14ac:dyDescent="0.25">
      <c r="A23" s="1" t="s">
        <v>0</v>
      </c>
      <c r="B23" s="157" t="s">
        <v>70</v>
      </c>
      <c r="C23" s="177">
        <f>C24+C27</f>
        <v>42852</v>
      </c>
      <c r="D23" s="177">
        <f>D24+D27</f>
        <v>64946</v>
      </c>
      <c r="E23" s="177">
        <f>E24+E27</f>
        <v>165265</v>
      </c>
      <c r="F23" s="177">
        <f>F24+F27</f>
        <v>165616</v>
      </c>
      <c r="G23" s="177">
        <f>G24+G27</f>
        <v>152897</v>
      </c>
      <c r="H23" s="178">
        <f>IFERROR(G23/F23-1,"-")</f>
        <v>-7.6798135445850679E-2</v>
      </c>
      <c r="I23" s="178">
        <f t="shared" si="1"/>
        <v>2.568024829646224</v>
      </c>
      <c r="J23" s="178">
        <f>G23/G$9</f>
        <v>0.20149576310275299</v>
      </c>
      <c r="K23" s="177">
        <f>K24+K27</f>
        <v>398770</v>
      </c>
      <c r="L23" s="177">
        <f>L24+L27</f>
        <v>687822</v>
      </c>
      <c r="M23" s="177">
        <f>M24+M27</f>
        <v>1325364</v>
      </c>
      <c r="N23" s="177">
        <f>N24+N27</f>
        <v>1377487</v>
      </c>
      <c r="O23" s="177">
        <f>O24+O27</f>
        <v>1420992</v>
      </c>
      <c r="P23" s="178">
        <f>IFERROR(O23/N23-1,"-")</f>
        <v>3.158287519228864E-2</v>
      </c>
      <c r="Q23" s="178">
        <f t="shared" ref="Q23:Q86" si="9">IFERROR(O23/K23-1,"-")</f>
        <v>2.5634375705293779</v>
      </c>
      <c r="R23" s="178">
        <f>O23/O$9</f>
        <v>0.40359574304922419</v>
      </c>
      <c r="S23" s="177">
        <f>S24+S27</f>
        <v>441622</v>
      </c>
      <c r="T23" s="177">
        <f>T24+T27</f>
        <v>752768</v>
      </c>
      <c r="U23" s="177">
        <f>U24+U27</f>
        <v>1490629</v>
      </c>
      <c r="V23" s="177">
        <f>V24+V27</f>
        <v>1543103</v>
      </c>
      <c r="W23" s="177">
        <f>W24+W27</f>
        <v>1573889</v>
      </c>
      <c r="X23" s="178">
        <f>IFERROR(W23/V23-1,"-")</f>
        <v>1.9950709706351377E-2</v>
      </c>
      <c r="Y23" s="178">
        <f t="shared" ref="Y23:Y86" si="10">IFERROR(W23/S23-1,"-")</f>
        <v>2.5638826870038178</v>
      </c>
      <c r="Z23" s="178">
        <f t="shared" ref="Z23:Z35" si="11">U23/U$9</f>
        <v>0.39467278883880924</v>
      </c>
    </row>
    <row r="24" spans="1:26" x14ac:dyDescent="0.25">
      <c r="A24" s="1" t="s">
        <v>98</v>
      </c>
      <c r="B24" s="160" t="s">
        <v>99</v>
      </c>
      <c r="C24" s="161">
        <v>2953</v>
      </c>
      <c r="D24" s="161">
        <v>8952</v>
      </c>
      <c r="E24" s="161">
        <v>12689</v>
      </c>
      <c r="F24" s="161">
        <v>11581</v>
      </c>
      <c r="G24" s="161">
        <v>7728</v>
      </c>
      <c r="H24" s="162">
        <f>IFERROR(G24/F24-1,"-")</f>
        <v>-0.33270011225282792</v>
      </c>
      <c r="I24" s="179">
        <f t="shared" si="1"/>
        <v>1.6169996613613273</v>
      </c>
      <c r="J24" s="162">
        <f>G24/G$9</f>
        <v>1.0184367628260039E-2</v>
      </c>
      <c r="K24" s="161">
        <v>90143</v>
      </c>
      <c r="L24" s="161">
        <v>198275</v>
      </c>
      <c r="M24" s="161">
        <v>161372</v>
      </c>
      <c r="N24" s="161">
        <v>131261</v>
      </c>
      <c r="O24" s="161">
        <v>120636</v>
      </c>
      <c r="P24" s="162">
        <f>IFERROR(O24/N24-1,"-")</f>
        <v>-8.0945596940446896E-2</v>
      </c>
      <c r="Q24" s="179">
        <f t="shared" si="9"/>
        <v>0.33827363189598758</v>
      </c>
      <c r="R24" s="162">
        <f>O24/O$9</f>
        <v>3.42635117287685E-2</v>
      </c>
      <c r="S24" s="161">
        <v>93096</v>
      </c>
      <c r="T24" s="161">
        <v>207227</v>
      </c>
      <c r="U24" s="161">
        <v>174061</v>
      </c>
      <c r="V24" s="161">
        <v>142842</v>
      </c>
      <c r="W24" s="161">
        <v>128364</v>
      </c>
      <c r="X24" s="162">
        <f>IFERROR(W24/V24-1,"-")</f>
        <v>-0.10135674381484439</v>
      </c>
      <c r="Y24" s="179">
        <f t="shared" si="10"/>
        <v>0.37883475122454247</v>
      </c>
      <c r="Z24" s="162">
        <f t="shared" si="11"/>
        <v>4.6086008187196124E-2</v>
      </c>
    </row>
    <row r="25" spans="1:26" x14ac:dyDescent="0.25">
      <c r="A25" s="163" t="s">
        <v>105</v>
      </c>
      <c r="B25" s="164" t="s">
        <v>105</v>
      </c>
      <c r="C25" s="165">
        <v>1786</v>
      </c>
      <c r="D25" s="165">
        <v>4418</v>
      </c>
      <c r="E25" s="165">
        <v>6088</v>
      </c>
      <c r="F25" s="165">
        <v>5359</v>
      </c>
      <c r="G25" s="165">
        <v>2401</v>
      </c>
      <c r="H25" s="166">
        <f>IFERROR(G25/F25-1,"-")</f>
        <v>-0.5519686508676992</v>
      </c>
      <c r="I25" s="180">
        <f t="shared" si="1"/>
        <v>0.34434490481522961</v>
      </c>
      <c r="J25" s="166">
        <f>G25/G$9</f>
        <v>3.1641649424757187E-3</v>
      </c>
      <c r="K25" s="165">
        <v>45044</v>
      </c>
      <c r="L25" s="165">
        <v>92809</v>
      </c>
      <c r="M25" s="165">
        <v>62381</v>
      </c>
      <c r="N25" s="165">
        <v>49573</v>
      </c>
      <c r="O25" s="165">
        <v>41582</v>
      </c>
      <c r="P25" s="166">
        <f>IFERROR(O25/N25-1,"-")</f>
        <v>-0.16119661912734751</v>
      </c>
      <c r="Q25" s="180">
        <f t="shared" si="9"/>
        <v>-7.6858183109848155E-2</v>
      </c>
      <c r="R25" s="166">
        <f>O25/O$9</f>
        <v>1.1810283370682481E-2</v>
      </c>
      <c r="S25" s="165">
        <v>46830</v>
      </c>
      <c r="T25" s="165">
        <v>97227</v>
      </c>
      <c r="U25" s="165">
        <v>68469</v>
      </c>
      <c r="V25" s="165">
        <v>54932</v>
      </c>
      <c r="W25" s="165">
        <v>43983</v>
      </c>
      <c r="X25" s="166">
        <f>IFERROR(W25/V25-1,"-")</f>
        <v>-0.19931915823199597</v>
      </c>
      <c r="Y25" s="180">
        <f t="shared" si="10"/>
        <v>-6.0794362588084572E-2</v>
      </c>
      <c r="Z25" s="166">
        <f t="shared" si="11"/>
        <v>1.812848883189877E-2</v>
      </c>
    </row>
    <row r="26" spans="1:26" x14ac:dyDescent="0.25">
      <c r="A26" s="163" t="s">
        <v>102</v>
      </c>
      <c r="B26" s="164" t="s">
        <v>102</v>
      </c>
      <c r="C26" s="165">
        <v>1167</v>
      </c>
      <c r="D26" s="165">
        <v>4534</v>
      </c>
      <c r="E26" s="165">
        <v>6601</v>
      </c>
      <c r="F26" s="165">
        <v>6222</v>
      </c>
      <c r="G26" s="165">
        <v>5327</v>
      </c>
      <c r="H26" s="166">
        <f>IFERROR(G26/F26-1,"-")</f>
        <v>-0.14384442301510769</v>
      </c>
      <c r="I26" s="180">
        <f t="shared" si="1"/>
        <v>3.5646958011996572</v>
      </c>
      <c r="J26" s="166">
        <f>G26/G$9</f>
        <v>7.0202026857843205E-3</v>
      </c>
      <c r="K26" s="165">
        <v>45099</v>
      </c>
      <c r="L26" s="165">
        <v>105466</v>
      </c>
      <c r="M26" s="165">
        <v>98991</v>
      </c>
      <c r="N26" s="165">
        <v>81688</v>
      </c>
      <c r="O26" s="165">
        <v>79054</v>
      </c>
      <c r="P26" s="166">
        <f>IFERROR(O26/N26-1,"-")</f>
        <v>-3.2244638135344283E-2</v>
      </c>
      <c r="Q26" s="180">
        <f t="shared" si="9"/>
        <v>0.75289917736535172</v>
      </c>
      <c r="R26" s="166">
        <f>O26/O$9</f>
        <v>2.2453228358086018E-2</v>
      </c>
      <c r="S26" s="165">
        <v>46266</v>
      </c>
      <c r="T26" s="165">
        <v>110000</v>
      </c>
      <c r="U26" s="165">
        <v>105592</v>
      </c>
      <c r="V26" s="165">
        <v>87910</v>
      </c>
      <c r="W26" s="165">
        <v>84381</v>
      </c>
      <c r="X26" s="166">
        <f>IFERROR(W26/V26-1,"-")</f>
        <v>-4.014332840404955E-2</v>
      </c>
      <c r="Y26" s="180">
        <f t="shared" si="10"/>
        <v>0.82382310984308127</v>
      </c>
      <c r="Z26" s="166">
        <f t="shared" si="11"/>
        <v>2.7957519355297358E-2</v>
      </c>
    </row>
    <row r="27" spans="1:26" x14ac:dyDescent="0.25">
      <c r="A27" s="1" t="s">
        <v>148</v>
      </c>
      <c r="B27" s="160" t="s">
        <v>109</v>
      </c>
      <c r="C27" s="161">
        <v>39899</v>
      </c>
      <c r="D27" s="161">
        <v>55994</v>
      </c>
      <c r="E27" s="161">
        <v>152576</v>
      </c>
      <c r="F27" s="161">
        <v>154035</v>
      </c>
      <c r="G27" s="161">
        <v>145169</v>
      </c>
      <c r="H27" s="162">
        <f>IFERROR(G27/F27-1,"-")</f>
        <v>-5.755834712889929E-2</v>
      </c>
      <c r="I27" s="179">
        <f t="shared" si="1"/>
        <v>2.6384119902754457</v>
      </c>
      <c r="J27" s="162">
        <f>G27/G$9</f>
        <v>0.19131139547449297</v>
      </c>
      <c r="K27" s="161">
        <v>308627</v>
      </c>
      <c r="L27" s="161">
        <v>489547</v>
      </c>
      <c r="M27" s="161">
        <v>1163992</v>
      </c>
      <c r="N27" s="161">
        <v>1246226</v>
      </c>
      <c r="O27" s="161">
        <v>1300356</v>
      </c>
      <c r="P27" s="162">
        <f>IFERROR(O27/N27-1,"-")</f>
        <v>4.3435139372794307E-2</v>
      </c>
      <c r="Q27" s="179">
        <f t="shared" si="9"/>
        <v>3.2133578721239555</v>
      </c>
      <c r="R27" s="162">
        <f>O27/O$9</f>
        <v>0.36933223132045567</v>
      </c>
      <c r="S27" s="161">
        <v>348526</v>
      </c>
      <c r="T27" s="161">
        <v>545541</v>
      </c>
      <c r="U27" s="161">
        <v>1316568</v>
      </c>
      <c r="V27" s="161">
        <v>1400261</v>
      </c>
      <c r="W27" s="161">
        <v>1445525</v>
      </c>
      <c r="X27" s="162">
        <f>IFERROR(W27/V27-1,"-")</f>
        <v>3.232540219287694E-2</v>
      </c>
      <c r="Y27" s="179">
        <f t="shared" si="10"/>
        <v>3.1475384906721446</v>
      </c>
      <c r="Z27" s="162">
        <f t="shared" si="11"/>
        <v>0.34858678065161314</v>
      </c>
    </row>
    <row r="28" spans="1:26" x14ac:dyDescent="0.25">
      <c r="A28" s="163" t="s">
        <v>112</v>
      </c>
      <c r="B28" s="164" t="s">
        <v>112</v>
      </c>
      <c r="C28" s="165">
        <v>14793</v>
      </c>
      <c r="D28" s="165">
        <v>16270</v>
      </c>
      <c r="E28" s="165">
        <v>66823</v>
      </c>
      <c r="F28" s="165">
        <v>69319</v>
      </c>
      <c r="G28" s="165">
        <v>63618</v>
      </c>
      <c r="H28" s="166">
        <f t="shared" ref="H28:H35" si="12">IFERROR(G28/F28-1,"-")</f>
        <v>-8.2242963689608928E-2</v>
      </c>
      <c r="I28" s="180">
        <f t="shared" si="1"/>
        <v>3.3005475562766176</v>
      </c>
      <c r="J28" s="166">
        <f t="shared" ref="J28:J35" si="13">G28/G$9</f>
        <v>8.383916922549782E-2</v>
      </c>
      <c r="K28" s="165">
        <v>128801</v>
      </c>
      <c r="L28" s="165">
        <v>159037</v>
      </c>
      <c r="M28" s="165">
        <v>590382</v>
      </c>
      <c r="N28" s="165">
        <v>640574</v>
      </c>
      <c r="O28" s="165">
        <v>669764</v>
      </c>
      <c r="P28" s="166">
        <f t="shared" ref="P28:P35" si="14">IFERROR(O28/N28-1,"-")</f>
        <v>4.5568505746408583E-2</v>
      </c>
      <c r="Q28" s="180">
        <f t="shared" si="9"/>
        <v>4.1999906833021479</v>
      </c>
      <c r="R28" s="166">
        <f t="shared" ref="R28:R35" si="15">O28/O$9</f>
        <v>0.19022900850083646</v>
      </c>
      <c r="S28" s="165">
        <v>143594</v>
      </c>
      <c r="T28" s="165">
        <v>175307</v>
      </c>
      <c r="U28" s="165">
        <v>657205</v>
      </c>
      <c r="V28" s="165">
        <v>709893</v>
      </c>
      <c r="W28" s="165">
        <v>733382</v>
      </c>
      <c r="X28" s="166">
        <f t="shared" ref="X28:X35" si="16">IFERROR(W28/V28-1,"-")</f>
        <v>3.3088085105783538E-2</v>
      </c>
      <c r="Y28" s="180">
        <f t="shared" si="10"/>
        <v>4.1073303898491584</v>
      </c>
      <c r="Z28" s="166">
        <f t="shared" si="11"/>
        <v>0.17400770425693424</v>
      </c>
    </row>
    <row r="29" spans="1:26" x14ac:dyDescent="0.25">
      <c r="A29" s="163" t="s">
        <v>115</v>
      </c>
      <c r="B29" s="164" t="s">
        <v>115</v>
      </c>
      <c r="C29" s="165">
        <v>7836</v>
      </c>
      <c r="D29" s="165">
        <v>14336</v>
      </c>
      <c r="E29" s="165">
        <v>27397</v>
      </c>
      <c r="F29" s="165">
        <v>30224</v>
      </c>
      <c r="G29" s="165">
        <v>29376</v>
      </c>
      <c r="H29" s="166">
        <f t="shared" si="12"/>
        <v>-2.8057173107464251E-2</v>
      </c>
      <c r="I29" s="180">
        <f t="shared" si="1"/>
        <v>2.7488514548238898</v>
      </c>
      <c r="J29" s="166">
        <f t="shared" si="13"/>
        <v>3.8713248375746231E-2</v>
      </c>
      <c r="K29" s="165">
        <v>41673</v>
      </c>
      <c r="L29" s="165">
        <v>81095</v>
      </c>
      <c r="M29" s="165">
        <v>128496</v>
      </c>
      <c r="N29" s="165">
        <v>137331</v>
      </c>
      <c r="O29" s="165">
        <v>137486</v>
      </c>
      <c r="P29" s="166">
        <f t="shared" si="14"/>
        <v>1.1286599529602981E-3</v>
      </c>
      <c r="Q29" s="180">
        <f t="shared" si="9"/>
        <v>2.2991625272958509</v>
      </c>
      <c r="R29" s="166">
        <f t="shared" si="15"/>
        <v>3.9049315076274627E-2</v>
      </c>
      <c r="S29" s="165">
        <v>49509</v>
      </c>
      <c r="T29" s="165">
        <v>95431</v>
      </c>
      <c r="U29" s="165">
        <v>155893</v>
      </c>
      <c r="V29" s="165">
        <v>167555</v>
      </c>
      <c r="W29" s="165">
        <v>166862</v>
      </c>
      <c r="X29" s="166">
        <f t="shared" si="16"/>
        <v>-4.1359553579422004E-3</v>
      </c>
      <c r="Y29" s="180">
        <f t="shared" si="10"/>
        <v>2.3703367064574117</v>
      </c>
      <c r="Z29" s="166">
        <f t="shared" si="11"/>
        <v>4.1275679642921538E-2</v>
      </c>
    </row>
    <row r="30" spans="1:26" x14ac:dyDescent="0.25">
      <c r="A30" s="163" t="s">
        <v>118</v>
      </c>
      <c r="B30" s="164" t="s">
        <v>118</v>
      </c>
      <c r="C30" s="165">
        <v>3230</v>
      </c>
      <c r="D30" s="165">
        <v>4987</v>
      </c>
      <c r="E30" s="165">
        <v>4132</v>
      </c>
      <c r="F30" s="165">
        <v>2982</v>
      </c>
      <c r="G30" s="165">
        <v>3034</v>
      </c>
      <c r="H30" s="166">
        <f t="shared" si="12"/>
        <v>1.7437961099932897E-2</v>
      </c>
      <c r="I30" s="180">
        <f t="shared" si="1"/>
        <v>-6.0681114551083604E-2</v>
      </c>
      <c r="J30" s="166">
        <f t="shared" si="13"/>
        <v>3.9983658623370805E-3</v>
      </c>
      <c r="K30" s="165">
        <v>13936</v>
      </c>
      <c r="L30" s="165">
        <v>30800</v>
      </c>
      <c r="M30" s="165">
        <v>48228</v>
      </c>
      <c r="N30" s="165">
        <v>43489</v>
      </c>
      <c r="O30" s="165">
        <v>39137</v>
      </c>
      <c r="P30" s="166">
        <f t="shared" si="14"/>
        <v>-0.10007128239324892</v>
      </c>
      <c r="Q30" s="180">
        <f t="shared" si="9"/>
        <v>1.8083381171067736</v>
      </c>
      <c r="R30" s="166">
        <f t="shared" si="15"/>
        <v>1.1115844843403402E-2</v>
      </c>
      <c r="S30" s="165">
        <v>17166</v>
      </c>
      <c r="T30" s="165">
        <v>35787</v>
      </c>
      <c r="U30" s="165">
        <v>52360</v>
      </c>
      <c r="V30" s="165">
        <v>46471</v>
      </c>
      <c r="W30" s="165">
        <v>42171</v>
      </c>
      <c r="X30" s="166">
        <f t="shared" si="16"/>
        <v>-9.2530825676228168E-2</v>
      </c>
      <c r="Y30" s="180">
        <f t="shared" si="10"/>
        <v>1.4566585110101364</v>
      </c>
      <c r="Z30" s="166">
        <f t="shared" si="11"/>
        <v>1.3863320265203516E-2</v>
      </c>
    </row>
    <row r="31" spans="1:26" x14ac:dyDescent="0.25">
      <c r="A31" s="163" t="s">
        <v>125</v>
      </c>
      <c r="B31" s="164" t="s">
        <v>125</v>
      </c>
      <c r="C31" s="165">
        <v>1736</v>
      </c>
      <c r="D31" s="165">
        <v>3938</v>
      </c>
      <c r="E31" s="165">
        <v>7950</v>
      </c>
      <c r="F31" s="165">
        <v>4040</v>
      </c>
      <c r="G31" s="165">
        <v>3255</v>
      </c>
      <c r="H31" s="166">
        <f t="shared" si="12"/>
        <v>-0.19430693069306926</v>
      </c>
      <c r="I31" s="180">
        <f t="shared" si="1"/>
        <v>0.875</v>
      </c>
      <c r="J31" s="166">
        <f t="shared" si="13"/>
        <v>4.2896113651638753E-3</v>
      </c>
      <c r="K31" s="165">
        <v>12314</v>
      </c>
      <c r="L31" s="165">
        <v>32115</v>
      </c>
      <c r="M31" s="165">
        <v>56445</v>
      </c>
      <c r="N31" s="165">
        <v>53434</v>
      </c>
      <c r="O31" s="165">
        <v>57796</v>
      </c>
      <c r="P31" s="166">
        <f t="shared" si="14"/>
        <v>8.1633416925553037E-2</v>
      </c>
      <c r="Q31" s="180">
        <f t="shared" si="9"/>
        <v>3.6935195712197499</v>
      </c>
      <c r="R31" s="166">
        <f t="shared" si="15"/>
        <v>1.6415447493914787E-2</v>
      </c>
      <c r="S31" s="165">
        <v>14050</v>
      </c>
      <c r="T31" s="165">
        <v>36053</v>
      </c>
      <c r="U31" s="165">
        <v>64395</v>
      </c>
      <c r="V31" s="165">
        <v>57474</v>
      </c>
      <c r="W31" s="165">
        <v>61051</v>
      </c>
      <c r="X31" s="166">
        <f t="shared" si="16"/>
        <v>6.2236837526533639E-2</v>
      </c>
      <c r="Y31" s="180">
        <f t="shared" si="10"/>
        <v>3.3452669039145908</v>
      </c>
      <c r="Z31" s="166">
        <f t="shared" si="11"/>
        <v>1.7049818725702454E-2</v>
      </c>
    </row>
    <row r="32" spans="1:26" x14ac:dyDescent="0.25">
      <c r="A32" s="163" t="s">
        <v>121</v>
      </c>
      <c r="B32" s="164" t="s">
        <v>121</v>
      </c>
      <c r="C32" s="165">
        <v>1403</v>
      </c>
      <c r="D32" s="165">
        <v>2232</v>
      </c>
      <c r="E32" s="165">
        <v>4497</v>
      </c>
      <c r="F32" s="165">
        <v>3231</v>
      </c>
      <c r="G32" s="165">
        <v>2567</v>
      </c>
      <c r="H32" s="166">
        <f t="shared" si="12"/>
        <v>-0.20550913030021667</v>
      </c>
      <c r="I32" s="180">
        <f t="shared" si="1"/>
        <v>0.8296507483962936</v>
      </c>
      <c r="J32" s="166">
        <f t="shared" si="13"/>
        <v>3.3829285328343065E-3</v>
      </c>
      <c r="K32" s="165">
        <v>25064</v>
      </c>
      <c r="L32" s="165">
        <v>46414</v>
      </c>
      <c r="M32" s="165">
        <v>73182</v>
      </c>
      <c r="N32" s="165">
        <v>71382</v>
      </c>
      <c r="O32" s="165">
        <v>73828</v>
      </c>
      <c r="P32" s="166">
        <f t="shared" si="14"/>
        <v>3.4266341654758836E-2</v>
      </c>
      <c r="Q32" s="180">
        <f t="shared" si="9"/>
        <v>1.9455793169486117</v>
      </c>
      <c r="R32" s="166">
        <f t="shared" si="15"/>
        <v>2.0968919260515275E-2</v>
      </c>
      <c r="S32" s="165">
        <v>26467</v>
      </c>
      <c r="T32" s="165">
        <v>48646</v>
      </c>
      <c r="U32" s="165">
        <v>77679</v>
      </c>
      <c r="V32" s="165">
        <v>74613</v>
      </c>
      <c r="W32" s="165">
        <v>76395</v>
      </c>
      <c r="X32" s="166">
        <f t="shared" si="16"/>
        <v>2.3883237505528454E-2</v>
      </c>
      <c r="Y32" s="180">
        <f t="shared" si="10"/>
        <v>1.8864246042241279</v>
      </c>
      <c r="Z32" s="166">
        <f t="shared" si="11"/>
        <v>2.0567014035155536E-2</v>
      </c>
    </row>
    <row r="33" spans="1:26" x14ac:dyDescent="0.25">
      <c r="A33" s="163" t="s">
        <v>130</v>
      </c>
      <c r="B33" s="164" t="s">
        <v>130</v>
      </c>
      <c r="C33" s="165">
        <v>1376</v>
      </c>
      <c r="D33" s="165">
        <v>590</v>
      </c>
      <c r="E33" s="165">
        <v>1708</v>
      </c>
      <c r="F33" s="165">
        <v>2116</v>
      </c>
      <c r="G33" s="165">
        <v>2577</v>
      </c>
      <c r="H33" s="166">
        <f t="shared" si="12"/>
        <v>0.21786389413988649</v>
      </c>
      <c r="I33" s="180">
        <f t="shared" si="1"/>
        <v>0.87281976744186052</v>
      </c>
      <c r="J33" s="166">
        <f t="shared" si="13"/>
        <v>3.3961070623739803E-3</v>
      </c>
      <c r="K33" s="165">
        <v>8223</v>
      </c>
      <c r="L33" s="165">
        <v>5697</v>
      </c>
      <c r="M33" s="165">
        <v>18357</v>
      </c>
      <c r="N33" s="165">
        <v>18861</v>
      </c>
      <c r="O33" s="165">
        <v>18273</v>
      </c>
      <c r="P33" s="166">
        <f t="shared" si="14"/>
        <v>-3.1175441386989022E-2</v>
      </c>
      <c r="Q33" s="180">
        <f t="shared" si="9"/>
        <v>1.2221816855162349</v>
      </c>
      <c r="R33" s="166">
        <f t="shared" si="15"/>
        <v>5.1899694106219271E-3</v>
      </c>
      <c r="S33" s="165">
        <v>9599</v>
      </c>
      <c r="T33" s="165">
        <v>6287</v>
      </c>
      <c r="U33" s="165">
        <v>20065</v>
      </c>
      <c r="V33" s="165">
        <v>20977</v>
      </c>
      <c r="W33" s="165">
        <v>20850</v>
      </c>
      <c r="X33" s="166">
        <f t="shared" si="16"/>
        <v>-6.054249892739616E-3</v>
      </c>
      <c r="Y33" s="180">
        <f t="shared" si="10"/>
        <v>1.1721012605479739</v>
      </c>
      <c r="Z33" s="166">
        <f t="shared" si="11"/>
        <v>5.3125958961288879E-3</v>
      </c>
    </row>
    <row r="34" spans="1:26" x14ac:dyDescent="0.25">
      <c r="A34" s="163" t="s">
        <v>133</v>
      </c>
      <c r="B34" s="164" t="s">
        <v>133</v>
      </c>
      <c r="C34" s="165">
        <v>669</v>
      </c>
      <c r="D34" s="165">
        <v>195</v>
      </c>
      <c r="E34" s="165">
        <v>794</v>
      </c>
      <c r="F34" s="165">
        <v>833</v>
      </c>
      <c r="G34" s="165">
        <v>620</v>
      </c>
      <c r="H34" s="166">
        <f t="shared" si="12"/>
        <v>-0.25570228091236491</v>
      </c>
      <c r="I34" s="180">
        <f t="shared" si="1"/>
        <v>-7.3243647234678577E-2</v>
      </c>
      <c r="J34" s="166">
        <f t="shared" si="13"/>
        <v>8.1706883145978568E-4</v>
      </c>
      <c r="K34" s="165">
        <v>10880</v>
      </c>
      <c r="L34" s="165">
        <v>4211</v>
      </c>
      <c r="M34" s="165">
        <v>16482</v>
      </c>
      <c r="N34" s="165">
        <v>21199</v>
      </c>
      <c r="O34" s="165">
        <v>19378</v>
      </c>
      <c r="P34" s="166">
        <f t="shared" si="14"/>
        <v>-8.59002783150149E-2</v>
      </c>
      <c r="Q34" s="180">
        <f t="shared" si="9"/>
        <v>0.78106617647058818</v>
      </c>
      <c r="R34" s="166">
        <f t="shared" si="15"/>
        <v>5.5038158616008154E-3</v>
      </c>
      <c r="S34" s="165">
        <v>11549</v>
      </c>
      <c r="T34" s="165">
        <v>4406</v>
      </c>
      <c r="U34" s="165">
        <v>17276</v>
      </c>
      <c r="V34" s="165">
        <v>22032</v>
      </c>
      <c r="W34" s="165">
        <v>19998</v>
      </c>
      <c r="X34" s="166">
        <f t="shared" si="16"/>
        <v>-9.2320261437908502E-2</v>
      </c>
      <c r="Y34" s="180">
        <f t="shared" si="10"/>
        <v>0.73157849164429822</v>
      </c>
      <c r="Z34" s="166">
        <f t="shared" si="11"/>
        <v>4.5741543334922828E-3</v>
      </c>
    </row>
    <row r="35" spans="1:26" x14ac:dyDescent="0.25">
      <c r="A35" s="168" t="s">
        <v>147</v>
      </c>
      <c r="B35" s="169" t="s">
        <v>147</v>
      </c>
      <c r="C35" s="170">
        <f>C27-SUM(C28:C34)</f>
        <v>8856</v>
      </c>
      <c r="D35" s="170">
        <f>D27-SUM(D28:D34)</f>
        <v>13446</v>
      </c>
      <c r="E35" s="170">
        <f>E27-SUM(E28:E34)</f>
        <v>39275</v>
      </c>
      <c r="F35" s="170">
        <f>F27-SUM(F28:F34)</f>
        <v>41290</v>
      </c>
      <c r="G35" s="170">
        <f>G27-SUM(G28:G34)</f>
        <v>40122</v>
      </c>
      <c r="H35" s="171">
        <f t="shared" si="12"/>
        <v>-2.8287720997820287E-2</v>
      </c>
      <c r="I35" s="181">
        <f t="shared" si="1"/>
        <v>3.5304878048780486</v>
      </c>
      <c r="J35" s="171">
        <f t="shared" si="13"/>
        <v>5.2874896219079877E-2</v>
      </c>
      <c r="K35" s="170">
        <f>K27-SUM(K28:K34)</f>
        <v>67736</v>
      </c>
      <c r="L35" s="170">
        <f>L27-SUM(L28:L34)</f>
        <v>130178</v>
      </c>
      <c r="M35" s="170">
        <f>M27-SUM(M28:M34)</f>
        <v>232420</v>
      </c>
      <c r="N35" s="170">
        <f>N27-SUM(N28:N34)</f>
        <v>259956</v>
      </c>
      <c r="O35" s="170">
        <f>O27-SUM(O28:O34)</f>
        <v>284694</v>
      </c>
      <c r="P35" s="171">
        <f t="shared" si="14"/>
        <v>9.5162258228315588E-2</v>
      </c>
      <c r="Q35" s="181">
        <f t="shared" si="9"/>
        <v>3.2029939766150939</v>
      </c>
      <c r="R35" s="171">
        <f t="shared" si="15"/>
        <v>8.0859910873288407E-2</v>
      </c>
      <c r="S35" s="170">
        <f>S27-SUM(S28:S34)</f>
        <v>76592</v>
      </c>
      <c r="T35" s="170">
        <f>T27-SUM(T28:T34)</f>
        <v>143624</v>
      </c>
      <c r="U35" s="170">
        <f>U27-SUM(U28:U34)</f>
        <v>271695</v>
      </c>
      <c r="V35" s="170">
        <f>V27-SUM(V28:V34)</f>
        <v>301246</v>
      </c>
      <c r="W35" s="170">
        <f>W27-SUM(W28:W34)</f>
        <v>324816</v>
      </c>
      <c r="X35" s="171">
        <f t="shared" si="16"/>
        <v>7.8241702794394019E-2</v>
      </c>
      <c r="Y35" s="181">
        <f t="shared" si="10"/>
        <v>3.2408606642991433</v>
      </c>
      <c r="Z35" s="171">
        <f t="shared" si="11"/>
        <v>7.1936493496074658E-2</v>
      </c>
    </row>
    <row r="36" spans="1:26" x14ac:dyDescent="0.25">
      <c r="A36" s="1"/>
      <c r="B36" s="156" t="s">
        <v>47</v>
      </c>
      <c r="C36" s="154"/>
      <c r="D36" s="154"/>
      <c r="E36" s="154"/>
      <c r="F36" s="154"/>
      <c r="G36" s="154"/>
      <c r="H36" s="154"/>
      <c r="I36" s="154"/>
      <c r="J36" s="154"/>
      <c r="K36" s="154"/>
      <c r="L36" s="154"/>
      <c r="M36" s="154"/>
      <c r="N36" s="154"/>
      <c r="O36" s="154"/>
      <c r="P36" s="154"/>
      <c r="Q36" s="154"/>
      <c r="R36" s="154"/>
      <c r="S36" s="154"/>
      <c r="T36" s="154"/>
      <c r="U36" s="154"/>
      <c r="V36" s="154"/>
      <c r="W36" s="154"/>
      <c r="X36" s="154"/>
      <c r="Y36" s="154"/>
      <c r="Z36" s="154"/>
    </row>
    <row r="37" spans="1:26" x14ac:dyDescent="0.25">
      <c r="A37" s="1" t="s">
        <v>0</v>
      </c>
      <c r="B37" s="157" t="s">
        <v>70</v>
      </c>
      <c r="C37" s="177">
        <f>C38+C41</f>
        <v>54285</v>
      </c>
      <c r="D37" s="177">
        <f>D38+D41</f>
        <v>50672</v>
      </c>
      <c r="E37" s="177">
        <f>E38+E41</f>
        <v>179190</v>
      </c>
      <c r="F37" s="177">
        <f>F38+F41</f>
        <v>201287</v>
      </c>
      <c r="G37" s="177">
        <f>G38+G41</f>
        <v>210210</v>
      </c>
      <c r="H37" s="178">
        <f>IFERROR(G37/F37-1,"-")</f>
        <v>4.432973813510066E-2</v>
      </c>
      <c r="I37" s="178">
        <f t="shared" si="1"/>
        <v>2.8723404255319149</v>
      </c>
      <c r="J37" s="178">
        <f>G37/G$9</f>
        <v>0.2770258694534864</v>
      </c>
      <c r="K37" s="177">
        <f>K38+K41</f>
        <v>151994</v>
      </c>
      <c r="L37" s="177">
        <f>L38+L41</f>
        <v>206077</v>
      </c>
      <c r="M37" s="177">
        <f>M38+M41</f>
        <v>573367</v>
      </c>
      <c r="N37" s="177">
        <f>N38+N41</f>
        <v>609226</v>
      </c>
      <c r="O37" s="177">
        <f>O38+O41</f>
        <v>651257</v>
      </c>
      <c r="P37" s="178">
        <f>IFERROR(O37/N37-1,"-")</f>
        <v>6.8990817857412567E-2</v>
      </c>
      <c r="Q37" s="178">
        <f t="shared" si="9"/>
        <v>3.2847546613682121</v>
      </c>
      <c r="R37" s="178">
        <f>O37/O$9</f>
        <v>0.18497257748883075</v>
      </c>
      <c r="S37" s="177">
        <f>S38+S41</f>
        <v>206279</v>
      </c>
      <c r="T37" s="177">
        <f>T38+T41</f>
        <v>256749</v>
      </c>
      <c r="U37" s="177">
        <f>U38+U41</f>
        <v>752557</v>
      </c>
      <c r="V37" s="177">
        <f>V38+V41</f>
        <v>810513</v>
      </c>
      <c r="W37" s="177">
        <f>W38+W41</f>
        <v>861467</v>
      </c>
      <c r="X37" s="178">
        <f>IFERROR(W37/V37-1,"-")</f>
        <v>6.2866357479768986E-2</v>
      </c>
      <c r="Y37" s="178">
        <f t="shared" si="10"/>
        <v>3.1762224947764919</v>
      </c>
      <c r="Z37" s="178">
        <f t="shared" ref="Z37:Z49" si="17">U37/U$9</f>
        <v>0.19925398603553787</v>
      </c>
    </row>
    <row r="38" spans="1:26" x14ac:dyDescent="0.25">
      <c r="A38" s="1" t="s">
        <v>98</v>
      </c>
      <c r="B38" s="160" t="s">
        <v>99</v>
      </c>
      <c r="C38" s="161">
        <v>5529</v>
      </c>
      <c r="D38" s="161">
        <v>6062</v>
      </c>
      <c r="E38" s="161">
        <v>22234</v>
      </c>
      <c r="F38" s="161">
        <v>28331</v>
      </c>
      <c r="G38" s="161">
        <v>31527</v>
      </c>
      <c r="H38" s="162">
        <f>IFERROR(G38/F38-1,"-")</f>
        <v>0.11280929017683805</v>
      </c>
      <c r="I38" s="179">
        <f t="shared" si="1"/>
        <v>4.7021161150298427</v>
      </c>
      <c r="J38" s="162">
        <f>G38/G$9</f>
        <v>4.1547950079730105E-2</v>
      </c>
      <c r="K38" s="161">
        <v>19247</v>
      </c>
      <c r="L38" s="161">
        <v>33772</v>
      </c>
      <c r="M38" s="161">
        <v>60854</v>
      </c>
      <c r="N38" s="161">
        <v>52810</v>
      </c>
      <c r="O38" s="161">
        <v>49280</v>
      </c>
      <c r="P38" s="162">
        <f>IFERROR(O38/N38-1,"-")</f>
        <v>-6.6843400871047121E-2</v>
      </c>
      <c r="Q38" s="179">
        <f t="shared" si="9"/>
        <v>1.5603990232243987</v>
      </c>
      <c r="R38" s="162">
        <f>O38/O$9</f>
        <v>1.3996699641845814E-2</v>
      </c>
      <c r="S38" s="161">
        <v>24776</v>
      </c>
      <c r="T38" s="161">
        <v>39834</v>
      </c>
      <c r="U38" s="161">
        <v>83088</v>
      </c>
      <c r="V38" s="161">
        <v>81141</v>
      </c>
      <c r="W38" s="161">
        <v>80807</v>
      </c>
      <c r="X38" s="162">
        <f>IFERROR(W38/V38-1,"-")</f>
        <v>-4.1162913939931656E-3</v>
      </c>
      <c r="Y38" s="179">
        <f t="shared" si="10"/>
        <v>2.2615030674846626</v>
      </c>
      <c r="Z38" s="162">
        <f t="shared" si="17"/>
        <v>2.1999151149641516E-2</v>
      </c>
    </row>
    <row r="39" spans="1:26" x14ac:dyDescent="0.25">
      <c r="A39" s="163" t="s">
        <v>105</v>
      </c>
      <c r="B39" s="164" t="s">
        <v>105</v>
      </c>
      <c r="C39" s="165">
        <v>2180</v>
      </c>
      <c r="D39" s="165">
        <v>4351</v>
      </c>
      <c r="E39" s="165">
        <v>9363</v>
      </c>
      <c r="F39" s="165">
        <v>15562</v>
      </c>
      <c r="G39" s="165">
        <v>21291</v>
      </c>
      <c r="H39" s="166">
        <f>IFERROR(G39/F39-1,"-")</f>
        <v>0.36814034185837285</v>
      </c>
      <c r="I39" s="180">
        <f t="shared" si="1"/>
        <v>8.7665137614678894</v>
      </c>
      <c r="J39" s="166">
        <f>G39/G$9</f>
        <v>2.8058407242919834E-2</v>
      </c>
      <c r="K39" s="165">
        <v>1767</v>
      </c>
      <c r="L39" s="165">
        <v>4726</v>
      </c>
      <c r="M39" s="165">
        <v>9315</v>
      </c>
      <c r="N39" s="165">
        <v>13363</v>
      </c>
      <c r="O39" s="165">
        <v>10110</v>
      </c>
      <c r="P39" s="166">
        <f>IFERROR(O39/N39-1,"-")</f>
        <v>-0.24343336077228173</v>
      </c>
      <c r="Q39" s="180">
        <f t="shared" si="9"/>
        <v>4.7215619694397279</v>
      </c>
      <c r="R39" s="166">
        <f>O39/O$9</f>
        <v>2.8714820085036768E-3</v>
      </c>
      <c r="S39" s="165">
        <v>3947</v>
      </c>
      <c r="T39" s="165">
        <v>9077</v>
      </c>
      <c r="U39" s="165">
        <v>18678</v>
      </c>
      <c r="V39" s="165">
        <v>28925</v>
      </c>
      <c r="W39" s="165">
        <v>31401</v>
      </c>
      <c r="X39" s="166">
        <f>IFERROR(W39/V39-1,"-")</f>
        <v>8.5600691443388E-2</v>
      </c>
      <c r="Y39" s="180">
        <f t="shared" si="10"/>
        <v>6.9556625285026605</v>
      </c>
      <c r="Z39" s="166">
        <f t="shared" si="17"/>
        <v>4.945360884520078E-3</v>
      </c>
    </row>
    <row r="40" spans="1:26" x14ac:dyDescent="0.25">
      <c r="A40" s="163" t="s">
        <v>102</v>
      </c>
      <c r="B40" s="164" t="s">
        <v>102</v>
      </c>
      <c r="C40" s="165">
        <v>3349</v>
      </c>
      <c r="D40" s="165">
        <v>1711</v>
      </c>
      <c r="E40" s="165">
        <v>12871</v>
      </c>
      <c r="F40" s="165">
        <v>12769</v>
      </c>
      <c r="G40" s="165">
        <v>10236</v>
      </c>
      <c r="H40" s="166">
        <f>IFERROR(G40/F40-1,"-")</f>
        <v>-0.19837105489858253</v>
      </c>
      <c r="I40" s="180">
        <f t="shared" si="1"/>
        <v>2.0564347566437742</v>
      </c>
      <c r="J40" s="166">
        <f>G40/G$9</f>
        <v>1.3489542836810269E-2</v>
      </c>
      <c r="K40" s="165">
        <v>17480</v>
      </c>
      <c r="L40" s="165">
        <v>29046</v>
      </c>
      <c r="M40" s="165">
        <v>51539</v>
      </c>
      <c r="N40" s="165">
        <v>39447</v>
      </c>
      <c r="O40" s="165">
        <v>39170</v>
      </c>
      <c r="P40" s="166">
        <f>IFERROR(O40/N40-1,"-")</f>
        <v>-7.0220802595888365E-3</v>
      </c>
      <c r="Q40" s="180">
        <f t="shared" si="9"/>
        <v>1.2408466819221968</v>
      </c>
      <c r="R40" s="166">
        <f>O40/O$9</f>
        <v>1.1125217633342139E-2</v>
      </c>
      <c r="S40" s="165">
        <v>20829</v>
      </c>
      <c r="T40" s="165">
        <v>30757</v>
      </c>
      <c r="U40" s="165">
        <v>64410</v>
      </c>
      <c r="V40" s="165">
        <v>52216</v>
      </c>
      <c r="W40" s="165">
        <v>49406</v>
      </c>
      <c r="X40" s="166">
        <f>IFERROR(W40/V40-1,"-")</f>
        <v>-5.3814922629079165E-2</v>
      </c>
      <c r="Y40" s="180">
        <f t="shared" si="10"/>
        <v>1.3719813721254019</v>
      </c>
      <c r="Z40" s="166">
        <f t="shared" si="17"/>
        <v>1.7053790265121438E-2</v>
      </c>
    </row>
    <row r="41" spans="1:26" x14ac:dyDescent="0.25">
      <c r="A41" s="1" t="s">
        <v>148</v>
      </c>
      <c r="B41" s="160" t="s">
        <v>109</v>
      </c>
      <c r="C41" s="161">
        <v>48756</v>
      </c>
      <c r="D41" s="161">
        <v>44610</v>
      </c>
      <c r="E41" s="161">
        <v>156956</v>
      </c>
      <c r="F41" s="161">
        <v>172956</v>
      </c>
      <c r="G41" s="161">
        <v>178683</v>
      </c>
      <c r="H41" s="162">
        <f>IFERROR(G41/F41-1,"-")</f>
        <v>3.3112467910913823E-2</v>
      </c>
      <c r="I41" s="179">
        <f t="shared" si="1"/>
        <v>2.6648412503076546</v>
      </c>
      <c r="J41" s="162">
        <f>G41/G$9</f>
        <v>0.23547791937375628</v>
      </c>
      <c r="K41" s="161">
        <v>132747</v>
      </c>
      <c r="L41" s="161">
        <v>172305</v>
      </c>
      <c r="M41" s="161">
        <v>512513</v>
      </c>
      <c r="N41" s="161">
        <v>556416</v>
      </c>
      <c r="O41" s="161">
        <v>601977</v>
      </c>
      <c r="P41" s="162">
        <f>IFERROR(O41/N41-1,"-")</f>
        <v>8.1882979641131781E-2</v>
      </c>
      <c r="Q41" s="179">
        <f t="shared" si="9"/>
        <v>3.5347691473253633</v>
      </c>
      <c r="R41" s="162">
        <f>O41/O$9</f>
        <v>0.17097587784698495</v>
      </c>
      <c r="S41" s="161">
        <v>181503</v>
      </c>
      <c r="T41" s="161">
        <v>216915</v>
      </c>
      <c r="U41" s="161">
        <v>669469</v>
      </c>
      <c r="V41" s="161">
        <v>729372</v>
      </c>
      <c r="W41" s="161">
        <v>780660</v>
      </c>
      <c r="X41" s="162">
        <f>IFERROR(W41/V41-1,"-")</f>
        <v>7.0318027015021212E-2</v>
      </c>
      <c r="Y41" s="179">
        <f t="shared" si="10"/>
        <v>3.3010859324639261</v>
      </c>
      <c r="Z41" s="162">
        <f t="shared" si="17"/>
        <v>0.17725483488589636</v>
      </c>
    </row>
    <row r="42" spans="1:26" x14ac:dyDescent="0.25">
      <c r="A42" s="163" t="s">
        <v>112</v>
      </c>
      <c r="B42" s="164" t="s">
        <v>112</v>
      </c>
      <c r="C42" s="165">
        <v>24960</v>
      </c>
      <c r="D42" s="165">
        <v>17021</v>
      </c>
      <c r="E42" s="165">
        <v>75160</v>
      </c>
      <c r="F42" s="165">
        <v>74709</v>
      </c>
      <c r="G42" s="165">
        <v>75962</v>
      </c>
      <c r="H42" s="166">
        <f t="shared" ref="H42:H49" si="18">IFERROR(G42/F42-1,"-")</f>
        <v>1.6771741021831321E-2</v>
      </c>
      <c r="I42" s="180">
        <f t="shared" si="1"/>
        <v>2.0433493589743588</v>
      </c>
      <c r="J42" s="166">
        <f t="shared" ref="J42:J49" si="19">G42/G$9</f>
        <v>0.10010674608927136</v>
      </c>
      <c r="K42" s="165">
        <v>63301</v>
      </c>
      <c r="L42" s="165">
        <v>63769</v>
      </c>
      <c r="M42" s="165">
        <v>269103</v>
      </c>
      <c r="N42" s="165">
        <v>299592</v>
      </c>
      <c r="O42" s="165">
        <v>337098</v>
      </c>
      <c r="P42" s="166">
        <f t="shared" ref="P42:P49" si="20">IFERROR(O42/N42-1,"-")</f>
        <v>0.12519025875190248</v>
      </c>
      <c r="Q42" s="180">
        <f t="shared" si="9"/>
        <v>4.3253187153441495</v>
      </c>
      <c r="R42" s="166">
        <f t="shared" ref="R42:R49" si="21">O42/O$9</f>
        <v>9.574390129600123E-2</v>
      </c>
      <c r="S42" s="165">
        <v>88261</v>
      </c>
      <c r="T42" s="165">
        <v>80790</v>
      </c>
      <c r="U42" s="165">
        <v>344263</v>
      </c>
      <c r="V42" s="165">
        <v>374301</v>
      </c>
      <c r="W42" s="165">
        <v>413060</v>
      </c>
      <c r="X42" s="166">
        <f t="shared" ref="X42:X49" si="22">IFERROR(W42/V42-1,"-")</f>
        <v>0.10355035118794764</v>
      </c>
      <c r="Y42" s="180">
        <f t="shared" si="10"/>
        <v>3.6799832315518746</v>
      </c>
      <c r="Z42" s="166">
        <f t="shared" si="17"/>
        <v>9.1150271666534721E-2</v>
      </c>
    </row>
    <row r="43" spans="1:26" x14ac:dyDescent="0.25">
      <c r="A43" s="163" t="s">
        <v>115</v>
      </c>
      <c r="B43" s="164" t="s">
        <v>115</v>
      </c>
      <c r="C43" s="165">
        <v>3221</v>
      </c>
      <c r="D43" s="165">
        <v>2578</v>
      </c>
      <c r="E43" s="165">
        <v>7845</v>
      </c>
      <c r="F43" s="165">
        <v>10865</v>
      </c>
      <c r="G43" s="165">
        <v>11127</v>
      </c>
      <c r="H43" s="166">
        <f t="shared" si="18"/>
        <v>2.4114127933732243E-2</v>
      </c>
      <c r="I43" s="180">
        <f t="shared" si="1"/>
        <v>2.4545172306737038</v>
      </c>
      <c r="J43" s="166">
        <f t="shared" si="19"/>
        <v>1.4663749818795219E-2</v>
      </c>
      <c r="K43" s="165">
        <v>7570</v>
      </c>
      <c r="L43" s="165">
        <v>10918</v>
      </c>
      <c r="M43" s="165">
        <v>19949</v>
      </c>
      <c r="N43" s="165">
        <v>22563</v>
      </c>
      <c r="O43" s="165">
        <v>20333</v>
      </c>
      <c r="P43" s="166">
        <f t="shared" si="20"/>
        <v>-9.883437486149893E-2</v>
      </c>
      <c r="Q43" s="180">
        <f t="shared" si="9"/>
        <v>1.6859973579920742</v>
      </c>
      <c r="R43" s="166">
        <f t="shared" si="21"/>
        <v>5.775058721949086E-3</v>
      </c>
      <c r="S43" s="165">
        <v>10791</v>
      </c>
      <c r="T43" s="165">
        <v>13496</v>
      </c>
      <c r="U43" s="165">
        <v>27794</v>
      </c>
      <c r="V43" s="165">
        <v>33428</v>
      </c>
      <c r="W43" s="165">
        <v>31460</v>
      </c>
      <c r="X43" s="166">
        <f t="shared" si="22"/>
        <v>-5.88728012444657E-2</v>
      </c>
      <c r="Y43" s="180">
        <f t="shared" si="10"/>
        <v>1.9153924566768605</v>
      </c>
      <c r="Z43" s="166">
        <f t="shared" si="17"/>
        <v>7.3589977740845403E-3</v>
      </c>
    </row>
    <row r="44" spans="1:26" x14ac:dyDescent="0.25">
      <c r="A44" s="163" t="s">
        <v>118</v>
      </c>
      <c r="B44" s="164" t="s">
        <v>118</v>
      </c>
      <c r="C44" s="165">
        <v>1995</v>
      </c>
      <c r="D44" s="165">
        <v>1781</v>
      </c>
      <c r="E44" s="165">
        <v>5675</v>
      </c>
      <c r="F44" s="165">
        <v>7865</v>
      </c>
      <c r="G44" s="165">
        <v>8232</v>
      </c>
      <c r="H44" s="166">
        <f t="shared" si="18"/>
        <v>4.6662428480610307E-2</v>
      </c>
      <c r="I44" s="180">
        <f t="shared" si="1"/>
        <v>3.1263157894736846</v>
      </c>
      <c r="J44" s="166">
        <f t="shared" si="19"/>
        <v>1.0848565517059606E-2</v>
      </c>
      <c r="K44" s="165">
        <v>3970</v>
      </c>
      <c r="L44" s="165">
        <v>8252</v>
      </c>
      <c r="M44" s="165">
        <v>12032</v>
      </c>
      <c r="N44" s="165">
        <v>11886</v>
      </c>
      <c r="O44" s="165">
        <v>11380</v>
      </c>
      <c r="P44" s="166">
        <f t="shared" si="20"/>
        <v>-4.2571092041056691E-2</v>
      </c>
      <c r="Q44" s="180">
        <f t="shared" si="9"/>
        <v>1.8664987405541562</v>
      </c>
      <c r="R44" s="166">
        <f t="shared" si="21"/>
        <v>3.2321924091762455E-3</v>
      </c>
      <c r="S44" s="165">
        <v>5965</v>
      </c>
      <c r="T44" s="165">
        <v>10033</v>
      </c>
      <c r="U44" s="165">
        <v>17707</v>
      </c>
      <c r="V44" s="165">
        <v>19751</v>
      </c>
      <c r="W44" s="165">
        <v>19612</v>
      </c>
      <c r="X44" s="166">
        <f t="shared" si="22"/>
        <v>-7.0376183484380794E-3</v>
      </c>
      <c r="Y44" s="180">
        <f t="shared" si="10"/>
        <v>2.2878457669740149</v>
      </c>
      <c r="Z44" s="166">
        <f t="shared" si="17"/>
        <v>4.688269899464451E-3</v>
      </c>
    </row>
    <row r="45" spans="1:26" x14ac:dyDescent="0.25">
      <c r="A45" s="163" t="s">
        <v>125</v>
      </c>
      <c r="B45" s="164" t="s">
        <v>125</v>
      </c>
      <c r="C45" s="165">
        <v>885</v>
      </c>
      <c r="D45" s="165">
        <v>1430</v>
      </c>
      <c r="E45" s="165">
        <v>3236</v>
      </c>
      <c r="F45" s="165">
        <v>3482</v>
      </c>
      <c r="G45" s="165">
        <v>3809</v>
      </c>
      <c r="H45" s="166">
        <f t="shared" si="18"/>
        <v>9.3911545089029325E-2</v>
      </c>
      <c r="I45" s="180">
        <f t="shared" si="1"/>
        <v>3.303954802259887</v>
      </c>
      <c r="J45" s="166">
        <f t="shared" si="19"/>
        <v>5.0197019016618126E-3</v>
      </c>
      <c r="K45" s="165">
        <v>6712</v>
      </c>
      <c r="L45" s="165">
        <v>13570</v>
      </c>
      <c r="M45" s="165">
        <v>27358</v>
      </c>
      <c r="N45" s="165">
        <v>26160</v>
      </c>
      <c r="O45" s="165">
        <v>28369</v>
      </c>
      <c r="P45" s="166">
        <f t="shared" si="20"/>
        <v>8.4441896024464835E-2</v>
      </c>
      <c r="Q45" s="180">
        <f t="shared" si="9"/>
        <v>3.2266090584028602</v>
      </c>
      <c r="R45" s="166">
        <f t="shared" si="21"/>
        <v>8.0574750840000792E-3</v>
      </c>
      <c r="S45" s="165">
        <v>7597</v>
      </c>
      <c r="T45" s="165">
        <v>15000</v>
      </c>
      <c r="U45" s="165">
        <v>30594</v>
      </c>
      <c r="V45" s="165">
        <v>29642</v>
      </c>
      <c r="W45" s="165">
        <v>32178</v>
      </c>
      <c r="X45" s="166">
        <f t="shared" si="22"/>
        <v>8.5554281087645956E-2</v>
      </c>
      <c r="Y45" s="180">
        <f t="shared" si="10"/>
        <v>3.2356193234171382</v>
      </c>
      <c r="Z45" s="166">
        <f t="shared" si="17"/>
        <v>8.100351798961734E-3</v>
      </c>
    </row>
    <row r="46" spans="1:26" x14ac:dyDescent="0.25">
      <c r="A46" s="163" t="s">
        <v>121</v>
      </c>
      <c r="B46" s="164" t="s">
        <v>121</v>
      </c>
      <c r="C46" s="165">
        <v>1080</v>
      </c>
      <c r="D46" s="165">
        <v>722</v>
      </c>
      <c r="E46" s="165">
        <v>1778</v>
      </c>
      <c r="F46" s="165">
        <v>2269</v>
      </c>
      <c r="G46" s="165">
        <v>2413</v>
      </c>
      <c r="H46" s="166">
        <f t="shared" si="18"/>
        <v>6.3464081092992508E-2</v>
      </c>
      <c r="I46" s="180">
        <f t="shared" si="1"/>
        <v>1.2342592592592592</v>
      </c>
      <c r="J46" s="166">
        <f t="shared" si="19"/>
        <v>3.1799791779233274E-3</v>
      </c>
      <c r="K46" s="165">
        <v>11022</v>
      </c>
      <c r="L46" s="165">
        <v>16968</v>
      </c>
      <c r="M46" s="165">
        <v>29000</v>
      </c>
      <c r="N46" s="165">
        <v>33231</v>
      </c>
      <c r="O46" s="165">
        <v>33087</v>
      </c>
      <c r="P46" s="166">
        <f t="shared" si="20"/>
        <v>-4.3333032409497152E-3</v>
      </c>
      <c r="Q46" s="180">
        <f t="shared" si="9"/>
        <v>2.0019052803483941</v>
      </c>
      <c r="R46" s="166">
        <f t="shared" si="21"/>
        <v>9.397500021301795E-3</v>
      </c>
      <c r="S46" s="165">
        <v>12102</v>
      </c>
      <c r="T46" s="165">
        <v>17690</v>
      </c>
      <c r="U46" s="165">
        <v>30778</v>
      </c>
      <c r="V46" s="165">
        <v>35500</v>
      </c>
      <c r="W46" s="165">
        <v>35500</v>
      </c>
      <c r="X46" s="166">
        <f t="shared" si="22"/>
        <v>0</v>
      </c>
      <c r="Y46" s="180">
        <f t="shared" si="10"/>
        <v>1.9333994381094035</v>
      </c>
      <c r="Z46" s="166">
        <f t="shared" si="17"/>
        <v>8.1490693491679499E-3</v>
      </c>
    </row>
    <row r="47" spans="1:26" x14ac:dyDescent="0.25">
      <c r="A47" s="163" t="s">
        <v>130</v>
      </c>
      <c r="B47" s="164" t="s">
        <v>130</v>
      </c>
      <c r="C47" s="165">
        <v>1099</v>
      </c>
      <c r="D47" s="165">
        <v>749</v>
      </c>
      <c r="E47" s="165">
        <v>2218</v>
      </c>
      <c r="F47" s="165">
        <v>2218</v>
      </c>
      <c r="G47" s="165">
        <v>1673</v>
      </c>
      <c r="H47" s="166">
        <f t="shared" si="18"/>
        <v>-0.24571686203787191</v>
      </c>
      <c r="I47" s="180">
        <f t="shared" si="1"/>
        <v>0.52229299363057335</v>
      </c>
      <c r="J47" s="166">
        <f t="shared" si="19"/>
        <v>2.2047679919874538E-3</v>
      </c>
      <c r="K47" s="165">
        <v>2296</v>
      </c>
      <c r="L47" s="165">
        <v>2639</v>
      </c>
      <c r="M47" s="165">
        <v>6605</v>
      </c>
      <c r="N47" s="165">
        <v>7002</v>
      </c>
      <c r="O47" s="165">
        <v>6960</v>
      </c>
      <c r="P47" s="166">
        <f t="shared" si="20"/>
        <v>-5.9982862039417162E-3</v>
      </c>
      <c r="Q47" s="180">
        <f t="shared" si="9"/>
        <v>2.0313588850174216</v>
      </c>
      <c r="R47" s="166">
        <f t="shared" si="21"/>
        <v>1.9768066052606912E-3</v>
      </c>
      <c r="S47" s="165">
        <v>3395</v>
      </c>
      <c r="T47" s="165">
        <v>3388</v>
      </c>
      <c r="U47" s="165">
        <v>8823</v>
      </c>
      <c r="V47" s="165">
        <v>9220</v>
      </c>
      <c r="W47" s="165">
        <v>8633</v>
      </c>
      <c r="X47" s="166">
        <f t="shared" si="22"/>
        <v>-6.3665943600867636E-2</v>
      </c>
      <c r="Y47" s="180">
        <f t="shared" si="10"/>
        <v>1.5428571428571427</v>
      </c>
      <c r="Z47" s="166">
        <f t="shared" si="17"/>
        <v>2.336059486246956E-3</v>
      </c>
    </row>
    <row r="48" spans="1:26" x14ac:dyDescent="0.25">
      <c r="A48" s="163" t="s">
        <v>133</v>
      </c>
      <c r="B48" s="164" t="s">
        <v>133</v>
      </c>
      <c r="C48" s="165">
        <v>1080</v>
      </c>
      <c r="D48" s="165">
        <v>761</v>
      </c>
      <c r="E48" s="165">
        <v>1311</v>
      </c>
      <c r="F48" s="165">
        <v>1982</v>
      </c>
      <c r="G48" s="165">
        <v>1393</v>
      </c>
      <c r="H48" s="166">
        <f t="shared" si="18"/>
        <v>-0.29717457114026236</v>
      </c>
      <c r="I48" s="180">
        <f t="shared" si="1"/>
        <v>0.28981481481481475</v>
      </c>
      <c r="J48" s="166">
        <f t="shared" si="19"/>
        <v>1.835769164876583E-3</v>
      </c>
      <c r="K48" s="165">
        <v>4136</v>
      </c>
      <c r="L48" s="165">
        <v>3019</v>
      </c>
      <c r="M48" s="165">
        <v>6804</v>
      </c>
      <c r="N48" s="165">
        <v>8431</v>
      </c>
      <c r="O48" s="165">
        <v>7038</v>
      </c>
      <c r="P48" s="166">
        <f t="shared" si="20"/>
        <v>-0.16522357964654255</v>
      </c>
      <c r="Q48" s="180">
        <f t="shared" si="9"/>
        <v>0.70164410058027071</v>
      </c>
      <c r="R48" s="166">
        <f t="shared" si="21"/>
        <v>1.9989604723886127E-3</v>
      </c>
      <c r="S48" s="165">
        <v>5216</v>
      </c>
      <c r="T48" s="165">
        <v>3780</v>
      </c>
      <c r="U48" s="165">
        <v>8115</v>
      </c>
      <c r="V48" s="165">
        <v>10413</v>
      </c>
      <c r="W48" s="165">
        <v>8431</v>
      </c>
      <c r="X48" s="166">
        <f t="shared" si="22"/>
        <v>-0.19033899932776333</v>
      </c>
      <c r="Y48" s="180">
        <f t="shared" si="10"/>
        <v>0.61637269938650308</v>
      </c>
      <c r="Z48" s="166">
        <f t="shared" si="17"/>
        <v>2.1486028256708658E-3</v>
      </c>
    </row>
    <row r="49" spans="1:26" x14ac:dyDescent="0.25">
      <c r="A49" s="168" t="s">
        <v>147</v>
      </c>
      <c r="B49" s="169" t="s">
        <v>147</v>
      </c>
      <c r="C49" s="170">
        <f>C41-SUM(C42:C48)</f>
        <v>14436</v>
      </c>
      <c r="D49" s="170">
        <f>D41-SUM(D42:D48)</f>
        <v>19568</v>
      </c>
      <c r="E49" s="170">
        <f>E41-SUM(E42:E48)</f>
        <v>59733</v>
      </c>
      <c r="F49" s="170">
        <f>F41-SUM(F42:F48)</f>
        <v>69566</v>
      </c>
      <c r="G49" s="170">
        <f>G41-SUM(G42:G48)</f>
        <v>74074</v>
      </c>
      <c r="H49" s="171">
        <f t="shared" si="18"/>
        <v>6.4801770980076556E-2</v>
      </c>
      <c r="I49" s="181">
        <f t="shared" si="1"/>
        <v>4.1311997783319478</v>
      </c>
      <c r="J49" s="171">
        <f t="shared" si="19"/>
        <v>9.7618639712180919E-2</v>
      </c>
      <c r="K49" s="170">
        <f>K41-SUM(K42:K48)</f>
        <v>33740</v>
      </c>
      <c r="L49" s="170">
        <f>L41-SUM(L42:L48)</f>
        <v>53170</v>
      </c>
      <c r="M49" s="170">
        <f>M41-SUM(M42:M48)</f>
        <v>141662</v>
      </c>
      <c r="N49" s="170">
        <f>N41-SUM(N42:N48)</f>
        <v>147551</v>
      </c>
      <c r="O49" s="170">
        <f>O41-SUM(O42:O48)</f>
        <v>157712</v>
      </c>
      <c r="P49" s="171">
        <f t="shared" si="20"/>
        <v>6.8864324877500049E-2</v>
      </c>
      <c r="Q49" s="181">
        <f t="shared" si="9"/>
        <v>3.6743331357439244</v>
      </c>
      <c r="R49" s="171">
        <f t="shared" si="21"/>
        <v>4.4793983236907205E-2</v>
      </c>
      <c r="S49" s="170">
        <f>S41-SUM(S42:S48)</f>
        <v>48176</v>
      </c>
      <c r="T49" s="170">
        <f>T41-SUM(T42:T48)</f>
        <v>72738</v>
      </c>
      <c r="U49" s="170">
        <f>U41-SUM(U42:U48)</f>
        <v>201395</v>
      </c>
      <c r="V49" s="170">
        <f>V41-SUM(V42:V48)</f>
        <v>217117</v>
      </c>
      <c r="W49" s="170">
        <f>W41-SUM(W42:W48)</f>
        <v>231786</v>
      </c>
      <c r="X49" s="171">
        <f t="shared" si="22"/>
        <v>6.7562650552467129E-2</v>
      </c>
      <c r="Y49" s="181">
        <f t="shared" si="10"/>
        <v>3.8112338093656595</v>
      </c>
      <c r="Z49" s="171">
        <f t="shared" si="17"/>
        <v>5.3323212085765126E-2</v>
      </c>
    </row>
    <row r="50" spans="1:26" x14ac:dyDescent="0.25">
      <c r="A50" s="1"/>
      <c r="B50" s="156" t="s">
        <v>48</v>
      </c>
      <c r="C50" s="154"/>
      <c r="D50" s="154"/>
      <c r="E50" s="154"/>
      <c r="F50" s="154"/>
      <c r="G50" s="154"/>
      <c r="H50" s="154"/>
      <c r="I50" s="154"/>
      <c r="J50" s="154"/>
      <c r="K50" s="154"/>
      <c r="L50" s="154"/>
      <c r="M50" s="154"/>
      <c r="N50" s="154"/>
      <c r="O50" s="154"/>
      <c r="P50" s="154"/>
      <c r="Q50" s="154"/>
      <c r="R50" s="154"/>
      <c r="S50" s="154"/>
      <c r="T50" s="154"/>
      <c r="U50" s="154"/>
      <c r="V50" s="154"/>
      <c r="W50" s="154"/>
      <c r="X50" s="154"/>
      <c r="Y50" s="154"/>
      <c r="Z50" s="154"/>
    </row>
    <row r="51" spans="1:26" x14ac:dyDescent="0.25">
      <c r="A51" s="1" t="s">
        <v>0</v>
      </c>
      <c r="B51" s="157" t="s">
        <v>70</v>
      </c>
      <c r="C51" s="177">
        <f>C52+C55</f>
        <v>0</v>
      </c>
      <c r="D51" s="177">
        <f>D52+D55</f>
        <v>0</v>
      </c>
      <c r="E51" s="177">
        <f>E52+E55</f>
        <v>0</v>
      </c>
      <c r="F51" s="177">
        <f>F52+F55</f>
        <v>0</v>
      </c>
      <c r="G51" s="177">
        <f>G52+G55</f>
        <v>0</v>
      </c>
      <c r="H51" s="178" t="str">
        <f>IFERROR(G51/F51-1,"-")</f>
        <v>-</v>
      </c>
      <c r="I51" s="178" t="str">
        <f t="shared" si="1"/>
        <v>-</v>
      </c>
      <c r="J51" s="178">
        <f>G51/G$9</f>
        <v>0</v>
      </c>
      <c r="K51" s="177">
        <f>K52+K55</f>
        <v>0</v>
      </c>
      <c r="L51" s="177">
        <f>L52+L55</f>
        <v>0</v>
      </c>
      <c r="M51" s="177">
        <f>M52+M55</f>
        <v>0</v>
      </c>
      <c r="N51" s="177">
        <f>N52+N55</f>
        <v>0</v>
      </c>
      <c r="O51" s="177">
        <f>O52+O55</f>
        <v>0</v>
      </c>
      <c r="P51" s="178" t="str">
        <f>IFERROR(O51/N51-1,"-")</f>
        <v>-</v>
      </c>
      <c r="Q51" s="178" t="str">
        <f t="shared" si="9"/>
        <v>-</v>
      </c>
      <c r="R51" s="178">
        <f>O51/O$9</f>
        <v>0</v>
      </c>
      <c r="S51" s="177">
        <f>S52+S55</f>
        <v>10755</v>
      </c>
      <c r="T51" s="177">
        <f>T52+T55</f>
        <v>20161</v>
      </c>
      <c r="U51" s="177">
        <f>U52+U55</f>
        <v>37638</v>
      </c>
      <c r="V51" s="177">
        <f>V52+V55</f>
        <v>50521</v>
      </c>
      <c r="W51" s="177">
        <f>W52+W55</f>
        <v>43075</v>
      </c>
      <c r="X51" s="178">
        <f>IFERROR(W51/V51-1,"-")</f>
        <v>-0.14738425605193883</v>
      </c>
      <c r="Y51" s="178">
        <f t="shared" si="10"/>
        <v>3.0051139005113905</v>
      </c>
      <c r="Z51" s="178">
        <f t="shared" ref="Z51:Z63" si="23">U51/U$9</f>
        <v>9.9653867101170725E-3</v>
      </c>
    </row>
    <row r="52" spans="1:26" x14ac:dyDescent="0.25">
      <c r="A52" s="1" t="s">
        <v>98</v>
      </c>
      <c r="B52" s="160" t="s">
        <v>99</v>
      </c>
      <c r="C52" s="161">
        <v>0</v>
      </c>
      <c r="D52" s="161">
        <v>0</v>
      </c>
      <c r="E52" s="161">
        <v>0</v>
      </c>
      <c r="F52" s="161">
        <v>0</v>
      </c>
      <c r="G52" s="161">
        <v>0</v>
      </c>
      <c r="H52" s="162" t="str">
        <f>IFERROR(G52/F52-1,"-")</f>
        <v>-</v>
      </c>
      <c r="I52" s="179" t="str">
        <f t="shared" si="1"/>
        <v>-</v>
      </c>
      <c r="J52" s="162">
        <f>G52/G$9</f>
        <v>0</v>
      </c>
      <c r="K52" s="161">
        <v>0</v>
      </c>
      <c r="L52" s="161">
        <v>0</v>
      </c>
      <c r="M52" s="161">
        <v>0</v>
      </c>
      <c r="N52" s="161">
        <v>0</v>
      </c>
      <c r="O52" s="161">
        <v>0</v>
      </c>
      <c r="P52" s="162" t="str">
        <f>IFERROR(O52/N52-1,"-")</f>
        <v>-</v>
      </c>
      <c r="Q52" s="179" t="str">
        <f t="shared" si="9"/>
        <v>-</v>
      </c>
      <c r="R52" s="162">
        <f>O52/O$9</f>
        <v>0</v>
      </c>
      <c r="S52" s="161">
        <v>1989</v>
      </c>
      <c r="T52" s="161">
        <v>4950</v>
      </c>
      <c r="U52" s="161">
        <v>6738</v>
      </c>
      <c r="V52" s="161">
        <v>20078</v>
      </c>
      <c r="W52" s="161">
        <v>10886</v>
      </c>
      <c r="X52" s="162">
        <f>IFERROR(W52/V52-1,"-")</f>
        <v>-0.45781452335890027</v>
      </c>
      <c r="Y52" s="179">
        <f t="shared" si="10"/>
        <v>4.4731020613373556</v>
      </c>
      <c r="Z52" s="162">
        <f t="shared" si="23"/>
        <v>1.7840155070080461E-3</v>
      </c>
    </row>
    <row r="53" spans="1:26" x14ac:dyDescent="0.25">
      <c r="A53" s="163" t="s">
        <v>105</v>
      </c>
      <c r="B53" s="164" t="s">
        <v>105</v>
      </c>
      <c r="C53" s="165">
        <v>0</v>
      </c>
      <c r="D53" s="165">
        <v>0</v>
      </c>
      <c r="E53" s="165">
        <v>0</v>
      </c>
      <c r="F53" s="165">
        <v>0</v>
      </c>
      <c r="G53" s="165">
        <v>0</v>
      </c>
      <c r="H53" s="166" t="str">
        <f>IFERROR(G53/F53-1,"-")</f>
        <v>-</v>
      </c>
      <c r="I53" s="180" t="str">
        <f t="shared" si="1"/>
        <v>-</v>
      </c>
      <c r="J53" s="166">
        <f>G53/G$9</f>
        <v>0</v>
      </c>
      <c r="K53" s="165">
        <v>0</v>
      </c>
      <c r="L53" s="165">
        <v>0</v>
      </c>
      <c r="M53" s="165">
        <v>0</v>
      </c>
      <c r="N53" s="165">
        <v>0</v>
      </c>
      <c r="O53" s="165">
        <v>0</v>
      </c>
      <c r="P53" s="166" t="str">
        <f>IFERROR(O53/N53-1,"-")</f>
        <v>-</v>
      </c>
      <c r="Q53" s="180" t="str">
        <f t="shared" si="9"/>
        <v>-</v>
      </c>
      <c r="R53" s="166">
        <f>O53/O$9</f>
        <v>0</v>
      </c>
      <c r="S53" s="165">
        <v>1487</v>
      </c>
      <c r="T53" s="165">
        <v>2415</v>
      </c>
      <c r="U53" s="165">
        <v>3508</v>
      </c>
      <c r="V53" s="165">
        <v>14700</v>
      </c>
      <c r="W53" s="165">
        <v>7147</v>
      </c>
      <c r="X53" s="166">
        <f>IFERROR(W53/V53-1,"-")</f>
        <v>-0.51380952380952383</v>
      </c>
      <c r="Y53" s="180">
        <f t="shared" si="10"/>
        <v>3.8063214525891054</v>
      </c>
      <c r="Z53" s="166">
        <f t="shared" si="23"/>
        <v>9.2881068545328373E-4</v>
      </c>
    </row>
    <row r="54" spans="1:26" x14ac:dyDescent="0.25">
      <c r="A54" s="163" t="s">
        <v>102</v>
      </c>
      <c r="B54" s="164" t="s">
        <v>102</v>
      </c>
      <c r="C54" s="165">
        <v>0</v>
      </c>
      <c r="D54" s="165">
        <v>0</v>
      </c>
      <c r="E54" s="165">
        <v>0</v>
      </c>
      <c r="F54" s="165">
        <v>0</v>
      </c>
      <c r="G54" s="165">
        <v>0</v>
      </c>
      <c r="H54" s="166" t="str">
        <f>IFERROR(G54/F54-1,"-")</f>
        <v>-</v>
      </c>
      <c r="I54" s="180" t="str">
        <f t="shared" si="1"/>
        <v>-</v>
      </c>
      <c r="J54" s="166">
        <f>G54/G$9</f>
        <v>0</v>
      </c>
      <c r="K54" s="165">
        <v>0</v>
      </c>
      <c r="L54" s="165">
        <v>0</v>
      </c>
      <c r="M54" s="165">
        <v>0</v>
      </c>
      <c r="N54" s="165">
        <v>0</v>
      </c>
      <c r="O54" s="165">
        <v>0</v>
      </c>
      <c r="P54" s="166" t="str">
        <f>IFERROR(O54/N54-1,"-")</f>
        <v>-</v>
      </c>
      <c r="Q54" s="180" t="str">
        <f t="shared" si="9"/>
        <v>-</v>
      </c>
      <c r="R54" s="166">
        <f>O54/O$9</f>
        <v>0</v>
      </c>
      <c r="S54" s="165">
        <v>502</v>
      </c>
      <c r="T54" s="165">
        <v>2535</v>
      </c>
      <c r="U54" s="165">
        <v>3230</v>
      </c>
      <c r="V54" s="165">
        <v>5378</v>
      </c>
      <c r="W54" s="165">
        <v>3739</v>
      </c>
      <c r="X54" s="166">
        <f>IFERROR(W54/V54-1,"-")</f>
        <v>-0.30476013387876533</v>
      </c>
      <c r="Y54" s="180">
        <f t="shared" si="10"/>
        <v>6.4482071713147411</v>
      </c>
      <c r="Z54" s="166">
        <f t="shared" si="23"/>
        <v>8.552048215547624E-4</v>
      </c>
    </row>
    <row r="55" spans="1:26" x14ac:dyDescent="0.25">
      <c r="A55" s="1" t="s">
        <v>148</v>
      </c>
      <c r="B55" s="160" t="s">
        <v>109</v>
      </c>
      <c r="C55" s="161">
        <v>0</v>
      </c>
      <c r="D55" s="161">
        <v>0</v>
      </c>
      <c r="E55" s="161">
        <v>0</v>
      </c>
      <c r="F55" s="161">
        <v>0</v>
      </c>
      <c r="G55" s="161">
        <v>0</v>
      </c>
      <c r="H55" s="162" t="str">
        <f>IFERROR(G55/F55-1,"-")</f>
        <v>-</v>
      </c>
      <c r="I55" s="179" t="str">
        <f t="shared" si="1"/>
        <v>-</v>
      </c>
      <c r="J55" s="162">
        <f>G55/G$9</f>
        <v>0</v>
      </c>
      <c r="K55" s="161">
        <v>0</v>
      </c>
      <c r="L55" s="161">
        <v>0</v>
      </c>
      <c r="M55" s="161">
        <v>0</v>
      </c>
      <c r="N55" s="161">
        <v>0</v>
      </c>
      <c r="O55" s="161">
        <v>0</v>
      </c>
      <c r="P55" s="162" t="str">
        <f>IFERROR(O55/N55-1,"-")</f>
        <v>-</v>
      </c>
      <c r="Q55" s="179" t="str">
        <f t="shared" si="9"/>
        <v>-</v>
      </c>
      <c r="R55" s="162">
        <f>O55/O$9</f>
        <v>0</v>
      </c>
      <c r="S55" s="161">
        <v>8766</v>
      </c>
      <c r="T55" s="161">
        <v>15211</v>
      </c>
      <c r="U55" s="161">
        <v>30900</v>
      </c>
      <c r="V55" s="161">
        <v>30443</v>
      </c>
      <c r="W55" s="161">
        <v>32189</v>
      </c>
      <c r="X55" s="162">
        <f>IFERROR(W55/V55-1,"-")</f>
        <v>5.7353086095325745E-2</v>
      </c>
      <c r="Y55" s="179">
        <f t="shared" si="10"/>
        <v>2.6720282911248003</v>
      </c>
      <c r="Z55" s="162">
        <f t="shared" si="23"/>
        <v>8.1813712031090276E-3</v>
      </c>
    </row>
    <row r="56" spans="1:26" x14ac:dyDescent="0.25">
      <c r="A56" s="163" t="s">
        <v>112</v>
      </c>
      <c r="B56" s="164" t="s">
        <v>112</v>
      </c>
      <c r="C56" s="165">
        <v>0</v>
      </c>
      <c r="D56" s="165">
        <v>0</v>
      </c>
      <c r="E56" s="165">
        <v>0</v>
      </c>
      <c r="F56" s="165">
        <v>0</v>
      </c>
      <c r="G56" s="165">
        <v>0</v>
      </c>
      <c r="H56" s="166" t="str">
        <f t="shared" ref="H56:H63" si="24">IFERROR(G56/F56-1,"-")</f>
        <v>-</v>
      </c>
      <c r="I56" s="180" t="str">
        <f t="shared" si="1"/>
        <v>-</v>
      </c>
      <c r="J56" s="166">
        <f t="shared" ref="J56:J63" si="25">G56/G$9</f>
        <v>0</v>
      </c>
      <c r="K56" s="165">
        <v>0</v>
      </c>
      <c r="L56" s="165">
        <v>0</v>
      </c>
      <c r="M56" s="165">
        <v>0</v>
      </c>
      <c r="N56" s="165">
        <v>0</v>
      </c>
      <c r="O56" s="165">
        <v>0</v>
      </c>
      <c r="P56" s="166" t="str">
        <f t="shared" ref="P56:P63" si="26">IFERROR(O56/N56-1,"-")</f>
        <v>-</v>
      </c>
      <c r="Q56" s="180" t="str">
        <f t="shared" si="9"/>
        <v>-</v>
      </c>
      <c r="R56" s="166">
        <f t="shared" ref="R56:R63" si="27">O56/O$9</f>
        <v>0</v>
      </c>
      <c r="S56" s="165">
        <v>2464</v>
      </c>
      <c r="T56" s="165">
        <v>3030</v>
      </c>
      <c r="U56" s="165">
        <v>10329</v>
      </c>
      <c r="V56" s="165">
        <v>9247</v>
      </c>
      <c r="W56" s="165">
        <v>10942</v>
      </c>
      <c r="X56" s="166">
        <f t="shared" ref="X56:X63" si="28">IFERROR(W56/V56-1,"-")</f>
        <v>0.18330269276522104</v>
      </c>
      <c r="Y56" s="180">
        <f t="shared" si="10"/>
        <v>3.4407467532467528</v>
      </c>
      <c r="Z56" s="166">
        <f t="shared" si="23"/>
        <v>2.7348020439130465E-3</v>
      </c>
    </row>
    <row r="57" spans="1:26" x14ac:dyDescent="0.25">
      <c r="A57" s="163" t="s">
        <v>115</v>
      </c>
      <c r="B57" s="164" t="s">
        <v>115</v>
      </c>
      <c r="C57" s="165">
        <v>0</v>
      </c>
      <c r="D57" s="165">
        <v>0</v>
      </c>
      <c r="E57" s="165">
        <v>0</v>
      </c>
      <c r="F57" s="165">
        <v>0</v>
      </c>
      <c r="G57" s="165">
        <v>0</v>
      </c>
      <c r="H57" s="166" t="str">
        <f t="shared" si="24"/>
        <v>-</v>
      </c>
      <c r="I57" s="180" t="str">
        <f t="shared" si="1"/>
        <v>-</v>
      </c>
      <c r="J57" s="166">
        <f t="shared" si="25"/>
        <v>0</v>
      </c>
      <c r="K57" s="165">
        <v>0</v>
      </c>
      <c r="L57" s="165">
        <v>0</v>
      </c>
      <c r="M57" s="165">
        <v>0</v>
      </c>
      <c r="N57" s="165">
        <v>0</v>
      </c>
      <c r="O57" s="165">
        <v>0</v>
      </c>
      <c r="P57" s="166" t="str">
        <f t="shared" si="26"/>
        <v>-</v>
      </c>
      <c r="Q57" s="180" t="str">
        <f t="shared" si="9"/>
        <v>-</v>
      </c>
      <c r="R57" s="166">
        <f t="shared" si="27"/>
        <v>0</v>
      </c>
      <c r="S57" s="165">
        <v>2785</v>
      </c>
      <c r="T57" s="165">
        <v>5150</v>
      </c>
      <c r="U57" s="165">
        <v>6783</v>
      </c>
      <c r="V57" s="165">
        <v>6068</v>
      </c>
      <c r="W57" s="165">
        <v>6432</v>
      </c>
      <c r="X57" s="166">
        <f t="shared" si="28"/>
        <v>5.9986816084377059E-2</v>
      </c>
      <c r="Y57" s="180">
        <f t="shared" si="10"/>
        <v>1.3095152603231597</v>
      </c>
      <c r="Z57" s="166">
        <f t="shared" si="23"/>
        <v>1.7959301252650009E-3</v>
      </c>
    </row>
    <row r="58" spans="1:26" x14ac:dyDescent="0.25">
      <c r="A58" s="163" t="s">
        <v>118</v>
      </c>
      <c r="B58" s="164" t="s">
        <v>118</v>
      </c>
      <c r="C58" s="165">
        <v>0</v>
      </c>
      <c r="D58" s="165">
        <v>0</v>
      </c>
      <c r="E58" s="165">
        <v>0</v>
      </c>
      <c r="F58" s="165">
        <v>0</v>
      </c>
      <c r="G58" s="165">
        <v>0</v>
      </c>
      <c r="H58" s="166" t="str">
        <f t="shared" si="24"/>
        <v>-</v>
      </c>
      <c r="I58" s="180" t="str">
        <f t="shared" si="1"/>
        <v>-</v>
      </c>
      <c r="J58" s="166">
        <f t="shared" si="25"/>
        <v>0</v>
      </c>
      <c r="K58" s="165">
        <v>0</v>
      </c>
      <c r="L58" s="165">
        <v>0</v>
      </c>
      <c r="M58" s="165">
        <v>0</v>
      </c>
      <c r="N58" s="165">
        <v>0</v>
      </c>
      <c r="O58" s="165">
        <v>0</v>
      </c>
      <c r="P58" s="166" t="str">
        <f t="shared" si="26"/>
        <v>-</v>
      </c>
      <c r="Q58" s="180" t="str">
        <f t="shared" si="9"/>
        <v>-</v>
      </c>
      <c r="R58" s="166">
        <f t="shared" si="27"/>
        <v>0</v>
      </c>
      <c r="S58" s="165">
        <v>488</v>
      </c>
      <c r="T58" s="165">
        <v>1642</v>
      </c>
      <c r="U58" s="165">
        <v>2739</v>
      </c>
      <c r="V58" s="165">
        <v>2907</v>
      </c>
      <c r="W58" s="165">
        <v>2287</v>
      </c>
      <c r="X58" s="166">
        <f t="shared" si="28"/>
        <v>-0.21327829377364982</v>
      </c>
      <c r="Y58" s="180">
        <f t="shared" si="10"/>
        <v>3.6864754098360653</v>
      </c>
      <c r="Z58" s="166">
        <f t="shared" si="23"/>
        <v>7.2520309790665457E-4</v>
      </c>
    </row>
    <row r="59" spans="1:26" x14ac:dyDescent="0.25">
      <c r="A59" s="163" t="s">
        <v>125</v>
      </c>
      <c r="B59" s="164" t="s">
        <v>125</v>
      </c>
      <c r="C59" s="165">
        <v>0</v>
      </c>
      <c r="D59" s="165">
        <v>0</v>
      </c>
      <c r="E59" s="165">
        <v>0</v>
      </c>
      <c r="F59" s="165">
        <v>0</v>
      </c>
      <c r="G59" s="165">
        <v>0</v>
      </c>
      <c r="H59" s="166" t="str">
        <f t="shared" si="24"/>
        <v>-</v>
      </c>
      <c r="I59" s="180" t="str">
        <f t="shared" si="1"/>
        <v>-</v>
      </c>
      <c r="J59" s="166">
        <f t="shared" si="25"/>
        <v>0</v>
      </c>
      <c r="K59" s="165">
        <v>0</v>
      </c>
      <c r="L59" s="165">
        <v>0</v>
      </c>
      <c r="M59" s="165">
        <v>0</v>
      </c>
      <c r="N59" s="165">
        <v>0</v>
      </c>
      <c r="O59" s="165">
        <v>0</v>
      </c>
      <c r="P59" s="166" t="str">
        <f t="shared" si="26"/>
        <v>-</v>
      </c>
      <c r="Q59" s="180" t="str">
        <f t="shared" si="9"/>
        <v>-</v>
      </c>
      <c r="R59" s="166">
        <f t="shared" si="27"/>
        <v>0</v>
      </c>
      <c r="S59" s="165">
        <v>271</v>
      </c>
      <c r="T59" s="165">
        <v>377</v>
      </c>
      <c r="U59" s="165">
        <v>866</v>
      </c>
      <c r="V59" s="165">
        <v>806</v>
      </c>
      <c r="W59" s="165">
        <v>1078</v>
      </c>
      <c r="X59" s="166">
        <f t="shared" si="28"/>
        <v>0.33746898263027303</v>
      </c>
      <c r="Y59" s="180">
        <f t="shared" si="10"/>
        <v>2.9778597785977858</v>
      </c>
      <c r="Z59" s="166">
        <f t="shared" si="23"/>
        <v>2.2929020912273196E-4</v>
      </c>
    </row>
    <row r="60" spans="1:26" x14ac:dyDescent="0.25">
      <c r="A60" s="163" t="s">
        <v>121</v>
      </c>
      <c r="B60" s="164" t="s">
        <v>121</v>
      </c>
      <c r="C60" s="165">
        <v>0</v>
      </c>
      <c r="D60" s="165">
        <v>0</v>
      </c>
      <c r="E60" s="165">
        <v>0</v>
      </c>
      <c r="F60" s="165">
        <v>0</v>
      </c>
      <c r="G60" s="165">
        <v>0</v>
      </c>
      <c r="H60" s="166" t="str">
        <f t="shared" si="24"/>
        <v>-</v>
      </c>
      <c r="I60" s="180" t="str">
        <f t="shared" si="1"/>
        <v>-</v>
      </c>
      <c r="J60" s="166">
        <f t="shared" si="25"/>
        <v>0</v>
      </c>
      <c r="K60" s="165">
        <v>0</v>
      </c>
      <c r="L60" s="165">
        <v>0</v>
      </c>
      <c r="M60" s="165">
        <v>0</v>
      </c>
      <c r="N60" s="165">
        <v>0</v>
      </c>
      <c r="O60" s="165">
        <v>0</v>
      </c>
      <c r="P60" s="166" t="str">
        <f t="shared" si="26"/>
        <v>-</v>
      </c>
      <c r="Q60" s="180" t="str">
        <f t="shared" si="9"/>
        <v>-</v>
      </c>
      <c r="R60" s="166">
        <f t="shared" si="27"/>
        <v>0</v>
      </c>
      <c r="S60" s="165">
        <v>177</v>
      </c>
      <c r="T60" s="165">
        <v>476</v>
      </c>
      <c r="U60" s="165">
        <v>649</v>
      </c>
      <c r="V60" s="165">
        <v>683</v>
      </c>
      <c r="W60" s="165">
        <v>802</v>
      </c>
      <c r="X60" s="166">
        <f t="shared" si="28"/>
        <v>0.17423133235724753</v>
      </c>
      <c r="Y60" s="180">
        <f t="shared" si="10"/>
        <v>3.5310734463276834</v>
      </c>
      <c r="Z60" s="166">
        <f t="shared" si="23"/>
        <v>1.7183527219474947E-4</v>
      </c>
    </row>
    <row r="61" spans="1:26" x14ac:dyDescent="0.25">
      <c r="A61" s="163" t="s">
        <v>130</v>
      </c>
      <c r="B61" s="164" t="s">
        <v>130</v>
      </c>
      <c r="C61" s="165">
        <v>0</v>
      </c>
      <c r="D61" s="165">
        <v>0</v>
      </c>
      <c r="E61" s="165">
        <v>0</v>
      </c>
      <c r="F61" s="165">
        <v>0</v>
      </c>
      <c r="G61" s="165">
        <v>0</v>
      </c>
      <c r="H61" s="166" t="str">
        <f t="shared" si="24"/>
        <v>-</v>
      </c>
      <c r="I61" s="180" t="str">
        <f t="shared" si="1"/>
        <v>-</v>
      </c>
      <c r="J61" s="166">
        <f t="shared" si="25"/>
        <v>0</v>
      </c>
      <c r="K61" s="165">
        <v>0</v>
      </c>
      <c r="L61" s="165">
        <v>0</v>
      </c>
      <c r="M61" s="165">
        <v>0</v>
      </c>
      <c r="N61" s="165">
        <v>0</v>
      </c>
      <c r="O61" s="165">
        <v>0</v>
      </c>
      <c r="P61" s="166" t="str">
        <f t="shared" si="26"/>
        <v>-</v>
      </c>
      <c r="Q61" s="180" t="str">
        <f t="shared" si="9"/>
        <v>-</v>
      </c>
      <c r="R61" s="166">
        <f t="shared" si="27"/>
        <v>0</v>
      </c>
      <c r="S61" s="165">
        <v>76</v>
      </c>
      <c r="T61" s="165">
        <v>98</v>
      </c>
      <c r="U61" s="165">
        <v>132</v>
      </c>
      <c r="V61" s="165">
        <v>239</v>
      </c>
      <c r="W61" s="165">
        <v>141</v>
      </c>
      <c r="X61" s="166">
        <f t="shared" si="28"/>
        <v>-0.41004184100418406</v>
      </c>
      <c r="Y61" s="180">
        <f t="shared" si="10"/>
        <v>0.85526315789473695</v>
      </c>
      <c r="Z61" s="166">
        <f t="shared" si="23"/>
        <v>3.4949546887067689E-5</v>
      </c>
    </row>
    <row r="62" spans="1:26" x14ac:dyDescent="0.25">
      <c r="A62" s="163" t="s">
        <v>133</v>
      </c>
      <c r="B62" s="164" t="s">
        <v>133</v>
      </c>
      <c r="C62" s="165">
        <v>0</v>
      </c>
      <c r="D62" s="165">
        <v>0</v>
      </c>
      <c r="E62" s="165">
        <v>0</v>
      </c>
      <c r="F62" s="165">
        <v>0</v>
      </c>
      <c r="G62" s="165">
        <v>0</v>
      </c>
      <c r="H62" s="166" t="str">
        <f t="shared" si="24"/>
        <v>-</v>
      </c>
      <c r="I62" s="180" t="str">
        <f t="shared" si="1"/>
        <v>-</v>
      </c>
      <c r="J62" s="166">
        <f t="shared" si="25"/>
        <v>0</v>
      </c>
      <c r="K62" s="165">
        <v>0</v>
      </c>
      <c r="L62" s="165">
        <v>0</v>
      </c>
      <c r="M62" s="165">
        <v>0</v>
      </c>
      <c r="N62" s="165">
        <v>0</v>
      </c>
      <c r="O62" s="165">
        <v>0</v>
      </c>
      <c r="P62" s="166" t="str">
        <f t="shared" si="26"/>
        <v>-</v>
      </c>
      <c r="Q62" s="180" t="str">
        <f t="shared" si="9"/>
        <v>-</v>
      </c>
      <c r="R62" s="166">
        <f t="shared" si="27"/>
        <v>0</v>
      </c>
      <c r="S62" s="165">
        <v>121</v>
      </c>
      <c r="T62" s="165">
        <v>91</v>
      </c>
      <c r="U62" s="165">
        <v>153</v>
      </c>
      <c r="V62" s="165">
        <v>195</v>
      </c>
      <c r="W62" s="165">
        <v>154</v>
      </c>
      <c r="X62" s="166">
        <f t="shared" si="28"/>
        <v>-0.21025641025641029</v>
      </c>
      <c r="Y62" s="180">
        <f t="shared" si="10"/>
        <v>0.27272727272727271</v>
      </c>
      <c r="Z62" s="166">
        <f t="shared" si="23"/>
        <v>4.0509702073646636E-5</v>
      </c>
    </row>
    <row r="63" spans="1:26" x14ac:dyDescent="0.25">
      <c r="A63" s="168" t="s">
        <v>147</v>
      </c>
      <c r="B63" s="169" t="s">
        <v>147</v>
      </c>
      <c r="C63" s="170">
        <f>C55-SUM(C56:C62)</f>
        <v>0</v>
      </c>
      <c r="D63" s="170">
        <f>D55-SUM(D56:D62)</f>
        <v>0</v>
      </c>
      <c r="E63" s="170">
        <f>E55-SUM(E56:E62)</f>
        <v>0</v>
      </c>
      <c r="F63" s="170">
        <f>F55-SUM(F56:F62)</f>
        <v>0</v>
      </c>
      <c r="G63" s="170">
        <f>G55-SUM(G56:G62)</f>
        <v>0</v>
      </c>
      <c r="H63" s="171" t="str">
        <f t="shared" si="24"/>
        <v>-</v>
      </c>
      <c r="I63" s="181" t="str">
        <f t="shared" si="1"/>
        <v>-</v>
      </c>
      <c r="J63" s="171">
        <f t="shared" si="25"/>
        <v>0</v>
      </c>
      <c r="K63" s="170">
        <f>K55-SUM(K56:K62)</f>
        <v>0</v>
      </c>
      <c r="L63" s="170">
        <f>L55-SUM(L56:L62)</f>
        <v>0</v>
      </c>
      <c r="M63" s="170">
        <f>M55-SUM(M56:M62)</f>
        <v>0</v>
      </c>
      <c r="N63" s="170">
        <f>N55-SUM(N56:N62)</f>
        <v>0</v>
      </c>
      <c r="O63" s="170">
        <f>O55-SUM(O56:O62)</f>
        <v>0</v>
      </c>
      <c r="P63" s="171" t="str">
        <f t="shared" si="26"/>
        <v>-</v>
      </c>
      <c r="Q63" s="181" t="str">
        <f t="shared" si="9"/>
        <v>-</v>
      </c>
      <c r="R63" s="171">
        <f t="shared" si="27"/>
        <v>0</v>
      </c>
      <c r="S63" s="170">
        <f>S55-SUM(S56:S62)</f>
        <v>2384</v>
      </c>
      <c r="T63" s="170">
        <f>T55-SUM(T56:T62)</f>
        <v>4347</v>
      </c>
      <c r="U63" s="170">
        <f>U55-SUM(U56:U62)</f>
        <v>9249</v>
      </c>
      <c r="V63" s="170">
        <f>V55-SUM(V56:V62)</f>
        <v>10298</v>
      </c>
      <c r="W63" s="170">
        <f>W55-SUM(W56:W62)</f>
        <v>10353</v>
      </c>
      <c r="X63" s="171">
        <f t="shared" si="28"/>
        <v>5.3408428821131171E-3</v>
      </c>
      <c r="Y63" s="181">
        <f t="shared" si="10"/>
        <v>3.3427013422818792</v>
      </c>
      <c r="Z63" s="171">
        <f t="shared" si="23"/>
        <v>2.4488512057461291E-3</v>
      </c>
    </row>
    <row r="64" spans="1:26" x14ac:dyDescent="0.25">
      <c r="A64" s="1"/>
      <c r="B64" s="156" t="s">
        <v>49</v>
      </c>
      <c r="C64" s="154"/>
      <c r="D64" s="154"/>
      <c r="E64" s="154"/>
      <c r="F64" s="154"/>
      <c r="G64" s="154"/>
      <c r="H64" s="154"/>
      <c r="I64" s="154"/>
      <c r="J64" s="154"/>
      <c r="K64" s="154"/>
      <c r="L64" s="154"/>
      <c r="M64" s="154"/>
      <c r="N64" s="154"/>
      <c r="O64" s="154"/>
      <c r="P64" s="154"/>
      <c r="Q64" s="154"/>
      <c r="R64" s="154"/>
      <c r="S64" s="154"/>
      <c r="T64" s="154"/>
      <c r="U64" s="154"/>
      <c r="V64" s="154"/>
      <c r="W64" s="154"/>
      <c r="X64" s="154"/>
      <c r="Y64" s="154"/>
      <c r="Z64" s="154"/>
    </row>
    <row r="65" spans="1:26" x14ac:dyDescent="0.25">
      <c r="A65" s="1" t="s">
        <v>0</v>
      </c>
      <c r="B65" s="157" t="s">
        <v>70</v>
      </c>
      <c r="C65" s="177">
        <f>C66+C69</f>
        <v>0</v>
      </c>
      <c r="D65" s="177">
        <f>D66+D69</f>
        <v>0</v>
      </c>
      <c r="E65" s="177">
        <f>E66+E69</f>
        <v>0</v>
      </c>
      <c r="F65" s="177">
        <f>F66+F69</f>
        <v>0</v>
      </c>
      <c r="G65" s="177">
        <f>G66+G69</f>
        <v>0</v>
      </c>
      <c r="H65" s="178" t="str">
        <f>IFERROR(G65/F65-1,"-")</f>
        <v>-</v>
      </c>
      <c r="I65" s="178" t="str">
        <f t="shared" si="1"/>
        <v>-</v>
      </c>
      <c r="J65" s="178">
        <f>G65/G$9</f>
        <v>0</v>
      </c>
      <c r="K65" s="177">
        <f>K66+K69</f>
        <v>0</v>
      </c>
      <c r="L65" s="177">
        <f>L66+L69</f>
        <v>0</v>
      </c>
      <c r="M65" s="177">
        <f>M66+M69</f>
        <v>0</v>
      </c>
      <c r="N65" s="177">
        <f>N66+N69</f>
        <v>0</v>
      </c>
      <c r="O65" s="177">
        <f>O66+O69</f>
        <v>0</v>
      </c>
      <c r="P65" s="178" t="str">
        <f>IFERROR(O65/N65-1,"-")</f>
        <v>-</v>
      </c>
      <c r="Q65" s="178" t="str">
        <f t="shared" si="9"/>
        <v>-</v>
      </c>
      <c r="R65" s="178">
        <f>O65/O$9</f>
        <v>0</v>
      </c>
      <c r="S65" s="177">
        <f>S66+S69</f>
        <v>54073</v>
      </c>
      <c r="T65" s="177">
        <f>T66+T69</f>
        <v>62020</v>
      </c>
      <c r="U65" s="177">
        <f>U66+U69</f>
        <v>151473</v>
      </c>
      <c r="V65" s="177">
        <f>V66+V69</f>
        <v>170958</v>
      </c>
      <c r="W65" s="177">
        <f>W66+W69</f>
        <v>191595</v>
      </c>
      <c r="X65" s="178">
        <f>IFERROR(W65/V65-1,"-")</f>
        <v>0.12071385954444946</v>
      </c>
      <c r="Y65" s="178">
        <f t="shared" si="10"/>
        <v>2.5432655854123132</v>
      </c>
      <c r="Z65" s="178">
        <f t="shared" ref="Z65:Z77" si="29">U65/U$9</f>
        <v>4.0105399360793971E-2</v>
      </c>
    </row>
    <row r="66" spans="1:26" x14ac:dyDescent="0.25">
      <c r="A66" s="1" t="s">
        <v>98</v>
      </c>
      <c r="B66" s="160" t="s">
        <v>99</v>
      </c>
      <c r="C66" s="161">
        <v>0</v>
      </c>
      <c r="D66" s="161">
        <v>0</v>
      </c>
      <c r="E66" s="161">
        <v>0</v>
      </c>
      <c r="F66" s="161">
        <v>0</v>
      </c>
      <c r="G66" s="161">
        <v>0</v>
      </c>
      <c r="H66" s="162" t="str">
        <f>IFERROR(G66/F66-1,"-")</f>
        <v>-</v>
      </c>
      <c r="I66" s="179" t="str">
        <f t="shared" si="1"/>
        <v>-</v>
      </c>
      <c r="J66" s="162">
        <f>G66/G$9</f>
        <v>0</v>
      </c>
      <c r="K66" s="161">
        <v>0</v>
      </c>
      <c r="L66" s="161">
        <v>0</v>
      </c>
      <c r="M66" s="161">
        <v>0</v>
      </c>
      <c r="N66" s="161">
        <v>0</v>
      </c>
      <c r="O66" s="161">
        <v>0</v>
      </c>
      <c r="P66" s="162" t="str">
        <f>IFERROR(O66/N66-1,"-")</f>
        <v>-</v>
      </c>
      <c r="Q66" s="179" t="str">
        <f t="shared" si="9"/>
        <v>-</v>
      </c>
      <c r="R66" s="162">
        <f>O66/O$9</f>
        <v>0</v>
      </c>
      <c r="S66" s="161">
        <v>24032</v>
      </c>
      <c r="T66" s="161">
        <v>25803</v>
      </c>
      <c r="U66" s="161">
        <v>30941</v>
      </c>
      <c r="V66" s="161">
        <v>45548</v>
      </c>
      <c r="W66" s="161">
        <v>58550</v>
      </c>
      <c r="X66" s="162">
        <f>IFERROR(W66/V66-1,"-")</f>
        <v>0.28545710020198478</v>
      </c>
      <c r="Y66" s="179">
        <f t="shared" si="10"/>
        <v>1.4363348868175767</v>
      </c>
      <c r="Z66" s="162">
        <f t="shared" si="29"/>
        <v>8.1922267441875852E-3</v>
      </c>
    </row>
    <row r="67" spans="1:26" x14ac:dyDescent="0.25">
      <c r="A67" s="163" t="s">
        <v>105</v>
      </c>
      <c r="B67" s="164" t="s">
        <v>105</v>
      </c>
      <c r="C67" s="165">
        <v>0</v>
      </c>
      <c r="D67" s="165">
        <v>0</v>
      </c>
      <c r="E67" s="165">
        <v>0</v>
      </c>
      <c r="F67" s="165">
        <v>0</v>
      </c>
      <c r="G67" s="165">
        <v>0</v>
      </c>
      <c r="H67" s="166" t="str">
        <f>IFERROR(G67/F67-1,"-")</f>
        <v>-</v>
      </c>
      <c r="I67" s="180" t="str">
        <f t="shared" si="1"/>
        <v>-</v>
      </c>
      <c r="J67" s="166">
        <f>G67/G$9</f>
        <v>0</v>
      </c>
      <c r="K67" s="165">
        <v>0</v>
      </c>
      <c r="L67" s="165">
        <v>0</v>
      </c>
      <c r="M67" s="165">
        <v>0</v>
      </c>
      <c r="N67" s="165">
        <v>0</v>
      </c>
      <c r="O67" s="165">
        <v>0</v>
      </c>
      <c r="P67" s="166" t="str">
        <f>IFERROR(O67/N67-1,"-")</f>
        <v>-</v>
      </c>
      <c r="Q67" s="180" t="str">
        <f t="shared" si="9"/>
        <v>-</v>
      </c>
      <c r="R67" s="166">
        <f>O67/O$9</f>
        <v>0</v>
      </c>
      <c r="S67" s="165">
        <v>8814</v>
      </c>
      <c r="T67" s="165">
        <v>21207</v>
      </c>
      <c r="U67" s="165">
        <v>22920</v>
      </c>
      <c r="V67" s="165">
        <v>31464</v>
      </c>
      <c r="W67" s="165">
        <v>34800</v>
      </c>
      <c r="X67" s="166">
        <f>IFERROR(W67/V67-1,"-")</f>
        <v>0.10602593440122043</v>
      </c>
      <c r="Y67" s="180">
        <f t="shared" si="10"/>
        <v>2.9482641252552755</v>
      </c>
      <c r="Z67" s="166">
        <f t="shared" si="29"/>
        <v>6.0685122322090262E-3</v>
      </c>
    </row>
    <row r="68" spans="1:26" x14ac:dyDescent="0.25">
      <c r="A68" s="163" t="s">
        <v>102</v>
      </c>
      <c r="B68" s="164" t="s">
        <v>102</v>
      </c>
      <c r="C68" s="165">
        <v>0</v>
      </c>
      <c r="D68" s="165">
        <v>0</v>
      </c>
      <c r="E68" s="165">
        <v>0</v>
      </c>
      <c r="F68" s="165">
        <v>0</v>
      </c>
      <c r="G68" s="165">
        <v>0</v>
      </c>
      <c r="H68" s="166" t="str">
        <f>IFERROR(G68/F68-1,"-")</f>
        <v>-</v>
      </c>
      <c r="I68" s="180" t="str">
        <f t="shared" si="1"/>
        <v>-</v>
      </c>
      <c r="J68" s="166">
        <f>G68/G$9</f>
        <v>0</v>
      </c>
      <c r="K68" s="165">
        <v>0</v>
      </c>
      <c r="L68" s="165">
        <v>0</v>
      </c>
      <c r="M68" s="165">
        <v>0</v>
      </c>
      <c r="N68" s="165">
        <v>0</v>
      </c>
      <c r="O68" s="165">
        <v>0</v>
      </c>
      <c r="P68" s="166" t="str">
        <f>IFERROR(O68/N68-1,"-")</f>
        <v>-</v>
      </c>
      <c r="Q68" s="180" t="str">
        <f t="shared" si="9"/>
        <v>-</v>
      </c>
      <c r="R68" s="166">
        <f>O68/O$9</f>
        <v>0</v>
      </c>
      <c r="S68" s="165">
        <v>15218</v>
      </c>
      <c r="T68" s="165">
        <v>4596</v>
      </c>
      <c r="U68" s="165">
        <v>8021</v>
      </c>
      <c r="V68" s="165">
        <v>14084</v>
      </c>
      <c r="W68" s="165">
        <v>23750</v>
      </c>
      <c r="X68" s="166">
        <f>IFERROR(W68/V68-1,"-")</f>
        <v>0.68631070718545861</v>
      </c>
      <c r="Y68" s="180">
        <f t="shared" si="10"/>
        <v>0.56065185963990016</v>
      </c>
      <c r="Z68" s="166">
        <f t="shared" si="29"/>
        <v>2.1237145119785599E-3</v>
      </c>
    </row>
    <row r="69" spans="1:26" x14ac:dyDescent="0.25">
      <c r="A69" s="1" t="s">
        <v>148</v>
      </c>
      <c r="B69" s="160" t="s">
        <v>109</v>
      </c>
      <c r="C69" s="161">
        <v>0</v>
      </c>
      <c r="D69" s="161">
        <v>0</v>
      </c>
      <c r="E69" s="161">
        <v>0</v>
      </c>
      <c r="F69" s="161">
        <v>0</v>
      </c>
      <c r="G69" s="161">
        <v>0</v>
      </c>
      <c r="H69" s="162" t="str">
        <f>IFERROR(G69/F69-1,"-")</f>
        <v>-</v>
      </c>
      <c r="I69" s="179" t="str">
        <f t="shared" si="1"/>
        <v>-</v>
      </c>
      <c r="J69" s="162">
        <f>G69/G$9</f>
        <v>0</v>
      </c>
      <c r="K69" s="161">
        <v>0</v>
      </c>
      <c r="L69" s="161">
        <v>0</v>
      </c>
      <c r="M69" s="161">
        <v>0</v>
      </c>
      <c r="N69" s="161">
        <v>0</v>
      </c>
      <c r="O69" s="161">
        <v>0</v>
      </c>
      <c r="P69" s="162" t="str">
        <f>IFERROR(O69/N69-1,"-")</f>
        <v>-</v>
      </c>
      <c r="Q69" s="179" t="str">
        <f t="shared" si="9"/>
        <v>-</v>
      </c>
      <c r="R69" s="162">
        <f>O69/O$9</f>
        <v>0</v>
      </c>
      <c r="S69" s="161">
        <v>30041</v>
      </c>
      <c r="T69" s="161">
        <v>36217</v>
      </c>
      <c r="U69" s="161">
        <v>120532</v>
      </c>
      <c r="V69" s="161">
        <v>125410</v>
      </c>
      <c r="W69" s="161">
        <v>133045</v>
      </c>
      <c r="X69" s="162">
        <f>IFERROR(W69/V69-1,"-")</f>
        <v>6.0880312574754791E-2</v>
      </c>
      <c r="Y69" s="179">
        <f t="shared" si="10"/>
        <v>3.428780666422556</v>
      </c>
      <c r="Z69" s="162">
        <f t="shared" si="29"/>
        <v>3.1913172616606381E-2</v>
      </c>
    </row>
    <row r="70" spans="1:26" x14ac:dyDescent="0.25">
      <c r="A70" s="163" t="s">
        <v>112</v>
      </c>
      <c r="B70" s="164" t="s">
        <v>112</v>
      </c>
      <c r="C70" s="165">
        <v>0</v>
      </c>
      <c r="D70" s="165">
        <v>0</v>
      </c>
      <c r="E70" s="165">
        <v>0</v>
      </c>
      <c r="F70" s="165">
        <v>0</v>
      </c>
      <c r="G70" s="165">
        <v>0</v>
      </c>
      <c r="H70" s="166" t="str">
        <f t="shared" ref="H70:H77" si="30">IFERROR(G70/F70-1,"-")</f>
        <v>-</v>
      </c>
      <c r="I70" s="180" t="str">
        <f t="shared" si="1"/>
        <v>-</v>
      </c>
      <c r="J70" s="166">
        <f t="shared" ref="J70:J77" si="31">G70/G$9</f>
        <v>0</v>
      </c>
      <c r="K70" s="165">
        <v>0</v>
      </c>
      <c r="L70" s="165">
        <v>0</v>
      </c>
      <c r="M70" s="165">
        <v>0</v>
      </c>
      <c r="N70" s="165">
        <v>0</v>
      </c>
      <c r="O70" s="165">
        <v>0</v>
      </c>
      <c r="P70" s="166" t="str">
        <f t="shared" ref="P70:P77" si="32">IFERROR(O70/N70-1,"-")</f>
        <v>-</v>
      </c>
      <c r="Q70" s="180" t="str">
        <f t="shared" si="9"/>
        <v>-</v>
      </c>
      <c r="R70" s="166">
        <f t="shared" ref="R70:R77" si="33">O70/O$9</f>
        <v>0</v>
      </c>
      <c r="S70" s="165">
        <v>13564</v>
      </c>
      <c r="T70" s="165">
        <v>7549</v>
      </c>
      <c r="U70" s="165">
        <v>52809</v>
      </c>
      <c r="V70" s="165">
        <v>48101</v>
      </c>
      <c r="W70" s="165">
        <v>45250</v>
      </c>
      <c r="X70" s="166">
        <f t="shared" ref="X70:X77" si="34">IFERROR(W70/V70-1,"-")</f>
        <v>-5.9271117024594089E-2</v>
      </c>
      <c r="Y70" s="180">
        <f t="shared" si="10"/>
        <v>2.3360365673842525</v>
      </c>
      <c r="Z70" s="166">
        <f t="shared" si="29"/>
        <v>1.3982201678478466E-2</v>
      </c>
    </row>
    <row r="71" spans="1:26" x14ac:dyDescent="0.25">
      <c r="A71" s="163" t="s">
        <v>115</v>
      </c>
      <c r="B71" s="164" t="s">
        <v>115</v>
      </c>
      <c r="C71" s="165">
        <v>0</v>
      </c>
      <c r="D71" s="165">
        <v>0</v>
      </c>
      <c r="E71" s="165">
        <v>0</v>
      </c>
      <c r="F71" s="165">
        <v>0</v>
      </c>
      <c r="G71" s="165">
        <v>0</v>
      </c>
      <c r="H71" s="166" t="str">
        <f t="shared" si="30"/>
        <v>-</v>
      </c>
      <c r="I71" s="180" t="str">
        <f t="shared" si="1"/>
        <v>-</v>
      </c>
      <c r="J71" s="166">
        <f t="shared" si="31"/>
        <v>0</v>
      </c>
      <c r="K71" s="165">
        <v>0</v>
      </c>
      <c r="L71" s="165">
        <v>0</v>
      </c>
      <c r="M71" s="165">
        <v>0</v>
      </c>
      <c r="N71" s="165">
        <v>0</v>
      </c>
      <c r="O71" s="165">
        <v>0</v>
      </c>
      <c r="P71" s="166" t="str">
        <f t="shared" si="32"/>
        <v>-</v>
      </c>
      <c r="Q71" s="180" t="str">
        <f t="shared" si="9"/>
        <v>-</v>
      </c>
      <c r="R71" s="166">
        <f t="shared" si="33"/>
        <v>0</v>
      </c>
      <c r="S71" s="165">
        <v>3277</v>
      </c>
      <c r="T71" s="165">
        <v>3513</v>
      </c>
      <c r="U71" s="165">
        <v>7009</v>
      </c>
      <c r="V71" s="165">
        <v>9961</v>
      </c>
      <c r="W71" s="165">
        <v>9892</v>
      </c>
      <c r="X71" s="166">
        <f t="shared" si="34"/>
        <v>-6.9270153599035877E-3</v>
      </c>
      <c r="Y71" s="180">
        <f t="shared" si="10"/>
        <v>2.0186145865120535</v>
      </c>
      <c r="Z71" s="166">
        <f t="shared" si="29"/>
        <v>1.8557679858443744E-3</v>
      </c>
    </row>
    <row r="72" spans="1:26" x14ac:dyDescent="0.25">
      <c r="A72" s="163" t="s">
        <v>118</v>
      </c>
      <c r="B72" s="164" t="s">
        <v>118</v>
      </c>
      <c r="C72" s="165">
        <v>0</v>
      </c>
      <c r="D72" s="165">
        <v>0</v>
      </c>
      <c r="E72" s="165">
        <v>0</v>
      </c>
      <c r="F72" s="165">
        <v>0</v>
      </c>
      <c r="G72" s="165">
        <v>0</v>
      </c>
      <c r="H72" s="166" t="str">
        <f t="shared" si="30"/>
        <v>-</v>
      </c>
      <c r="I72" s="180" t="str">
        <f t="shared" si="1"/>
        <v>-</v>
      </c>
      <c r="J72" s="166">
        <f t="shared" si="31"/>
        <v>0</v>
      </c>
      <c r="K72" s="165">
        <v>0</v>
      </c>
      <c r="L72" s="165">
        <v>0</v>
      </c>
      <c r="M72" s="165">
        <v>0</v>
      </c>
      <c r="N72" s="165">
        <v>0</v>
      </c>
      <c r="O72" s="165">
        <v>0</v>
      </c>
      <c r="P72" s="166" t="str">
        <f t="shared" si="32"/>
        <v>-</v>
      </c>
      <c r="Q72" s="180" t="str">
        <f t="shared" si="9"/>
        <v>-</v>
      </c>
      <c r="R72" s="166">
        <f t="shared" si="33"/>
        <v>0</v>
      </c>
      <c r="S72" s="165">
        <v>3407</v>
      </c>
      <c r="T72" s="165">
        <v>6247</v>
      </c>
      <c r="U72" s="165">
        <v>17604</v>
      </c>
      <c r="V72" s="165">
        <v>15357</v>
      </c>
      <c r="W72" s="165">
        <v>19078</v>
      </c>
      <c r="X72" s="166">
        <f t="shared" si="34"/>
        <v>0.24229992837142666</v>
      </c>
      <c r="Y72" s="180">
        <f t="shared" si="10"/>
        <v>4.599647783974171</v>
      </c>
      <c r="Z72" s="166">
        <f t="shared" si="29"/>
        <v>4.6609986621207545E-3</v>
      </c>
    </row>
    <row r="73" spans="1:26" x14ac:dyDescent="0.25">
      <c r="A73" s="163" t="s">
        <v>125</v>
      </c>
      <c r="B73" s="164" t="s">
        <v>125</v>
      </c>
      <c r="C73" s="165">
        <v>0</v>
      </c>
      <c r="D73" s="165">
        <v>0</v>
      </c>
      <c r="E73" s="165">
        <v>0</v>
      </c>
      <c r="F73" s="165">
        <v>0</v>
      </c>
      <c r="G73" s="165">
        <v>0</v>
      </c>
      <c r="H73" s="166" t="str">
        <f t="shared" si="30"/>
        <v>-</v>
      </c>
      <c r="I73" s="180" t="str">
        <f t="shared" si="1"/>
        <v>-</v>
      </c>
      <c r="J73" s="166">
        <f t="shared" si="31"/>
        <v>0</v>
      </c>
      <c r="K73" s="165">
        <v>0</v>
      </c>
      <c r="L73" s="165">
        <v>0</v>
      </c>
      <c r="M73" s="165">
        <v>0</v>
      </c>
      <c r="N73" s="165">
        <v>0</v>
      </c>
      <c r="O73" s="165">
        <v>0</v>
      </c>
      <c r="P73" s="166" t="str">
        <f t="shared" si="32"/>
        <v>-</v>
      </c>
      <c r="Q73" s="180" t="str">
        <f t="shared" si="9"/>
        <v>-</v>
      </c>
      <c r="R73" s="166">
        <f t="shared" si="33"/>
        <v>0</v>
      </c>
      <c r="S73" s="165">
        <v>502</v>
      </c>
      <c r="T73" s="165">
        <v>1777</v>
      </c>
      <c r="U73" s="165">
        <v>2468</v>
      </c>
      <c r="V73" s="165">
        <v>3478</v>
      </c>
      <c r="W73" s="165">
        <v>4281</v>
      </c>
      <c r="X73" s="166">
        <f t="shared" si="34"/>
        <v>0.23087981598619889</v>
      </c>
      <c r="Y73" s="180">
        <f t="shared" si="10"/>
        <v>7.5278884462151403</v>
      </c>
      <c r="Z73" s="166">
        <f t="shared" si="29"/>
        <v>6.5345061907032612E-4</v>
      </c>
    </row>
    <row r="74" spans="1:26" x14ac:dyDescent="0.25">
      <c r="A74" s="163" t="s">
        <v>121</v>
      </c>
      <c r="B74" s="164" t="s">
        <v>121</v>
      </c>
      <c r="C74" s="165">
        <v>0</v>
      </c>
      <c r="D74" s="165">
        <v>0</v>
      </c>
      <c r="E74" s="165">
        <v>0</v>
      </c>
      <c r="F74" s="165">
        <v>0</v>
      </c>
      <c r="G74" s="165">
        <v>0</v>
      </c>
      <c r="H74" s="166" t="str">
        <f t="shared" si="30"/>
        <v>-</v>
      </c>
      <c r="I74" s="180" t="str">
        <f t="shared" ref="I74:I137" si="35">IFERROR(G74/C74-1,"-")</f>
        <v>-</v>
      </c>
      <c r="J74" s="166">
        <f t="shared" si="31"/>
        <v>0</v>
      </c>
      <c r="K74" s="165">
        <v>0</v>
      </c>
      <c r="L74" s="165">
        <v>0</v>
      </c>
      <c r="M74" s="165">
        <v>0</v>
      </c>
      <c r="N74" s="165">
        <v>0</v>
      </c>
      <c r="O74" s="165">
        <v>0</v>
      </c>
      <c r="P74" s="166" t="str">
        <f t="shared" si="32"/>
        <v>-</v>
      </c>
      <c r="Q74" s="180" t="str">
        <f t="shared" si="9"/>
        <v>-</v>
      </c>
      <c r="R74" s="166">
        <f t="shared" si="33"/>
        <v>0</v>
      </c>
      <c r="S74" s="165">
        <v>1200</v>
      </c>
      <c r="T74" s="165">
        <v>1607</v>
      </c>
      <c r="U74" s="165">
        <v>2853</v>
      </c>
      <c r="V74" s="165">
        <v>2272</v>
      </c>
      <c r="W74" s="165">
        <v>3870</v>
      </c>
      <c r="X74" s="166">
        <f t="shared" si="34"/>
        <v>0.70334507042253525</v>
      </c>
      <c r="Y74" s="180">
        <f t="shared" si="10"/>
        <v>2.2250000000000001</v>
      </c>
      <c r="Z74" s="166">
        <f t="shared" si="29"/>
        <v>7.5538679749094029E-4</v>
      </c>
    </row>
    <row r="75" spans="1:26" x14ac:dyDescent="0.25">
      <c r="A75" s="163" t="s">
        <v>130</v>
      </c>
      <c r="B75" s="164" t="s">
        <v>130</v>
      </c>
      <c r="C75" s="165">
        <v>0</v>
      </c>
      <c r="D75" s="165">
        <v>0</v>
      </c>
      <c r="E75" s="165">
        <v>0</v>
      </c>
      <c r="F75" s="165">
        <v>0</v>
      </c>
      <c r="G75" s="165">
        <v>0</v>
      </c>
      <c r="H75" s="166" t="str">
        <f t="shared" si="30"/>
        <v>-</v>
      </c>
      <c r="I75" s="180" t="str">
        <f t="shared" si="35"/>
        <v>-</v>
      </c>
      <c r="J75" s="166">
        <f t="shared" si="31"/>
        <v>0</v>
      </c>
      <c r="K75" s="165">
        <v>0</v>
      </c>
      <c r="L75" s="165">
        <v>0</v>
      </c>
      <c r="M75" s="165">
        <v>0</v>
      </c>
      <c r="N75" s="165">
        <v>0</v>
      </c>
      <c r="O75" s="165">
        <v>0</v>
      </c>
      <c r="P75" s="166" t="str">
        <f t="shared" si="32"/>
        <v>-</v>
      </c>
      <c r="Q75" s="180" t="str">
        <f t="shared" si="9"/>
        <v>-</v>
      </c>
      <c r="R75" s="166">
        <f t="shared" si="33"/>
        <v>0</v>
      </c>
      <c r="S75" s="165">
        <v>651</v>
      </c>
      <c r="T75" s="165">
        <v>1674</v>
      </c>
      <c r="U75" s="165">
        <v>2685</v>
      </c>
      <c r="V75" s="165">
        <v>3745</v>
      </c>
      <c r="W75" s="165">
        <v>2300</v>
      </c>
      <c r="X75" s="166">
        <f t="shared" si="34"/>
        <v>-0.3858477970627503</v>
      </c>
      <c r="Y75" s="180">
        <f t="shared" si="10"/>
        <v>2.5330261136712751</v>
      </c>
      <c r="Z75" s="166">
        <f t="shared" si="29"/>
        <v>7.1090555599830866E-4</v>
      </c>
    </row>
    <row r="76" spans="1:26" x14ac:dyDescent="0.25">
      <c r="A76" s="163" t="s">
        <v>133</v>
      </c>
      <c r="B76" s="164" t="s">
        <v>133</v>
      </c>
      <c r="C76" s="165">
        <v>0</v>
      </c>
      <c r="D76" s="165">
        <v>0</v>
      </c>
      <c r="E76" s="165">
        <v>0</v>
      </c>
      <c r="F76" s="165">
        <v>0</v>
      </c>
      <c r="G76" s="165">
        <v>0</v>
      </c>
      <c r="H76" s="166" t="str">
        <f t="shared" si="30"/>
        <v>-</v>
      </c>
      <c r="I76" s="180" t="str">
        <f t="shared" si="35"/>
        <v>-</v>
      </c>
      <c r="J76" s="166">
        <f t="shared" si="31"/>
        <v>0</v>
      </c>
      <c r="K76" s="165">
        <v>0</v>
      </c>
      <c r="L76" s="165">
        <v>0</v>
      </c>
      <c r="M76" s="165">
        <v>0</v>
      </c>
      <c r="N76" s="165">
        <v>0</v>
      </c>
      <c r="O76" s="165">
        <v>0</v>
      </c>
      <c r="P76" s="166" t="str">
        <f t="shared" si="32"/>
        <v>-</v>
      </c>
      <c r="Q76" s="180" t="str">
        <f t="shared" si="9"/>
        <v>-</v>
      </c>
      <c r="R76" s="166">
        <f t="shared" si="33"/>
        <v>0</v>
      </c>
      <c r="S76" s="165">
        <v>907</v>
      </c>
      <c r="T76" s="165">
        <v>154</v>
      </c>
      <c r="U76" s="165">
        <v>799</v>
      </c>
      <c r="V76" s="165">
        <v>1039</v>
      </c>
      <c r="W76" s="165">
        <v>628</v>
      </c>
      <c r="X76" s="166">
        <f t="shared" si="34"/>
        <v>-0.39557266602502406</v>
      </c>
      <c r="Y76" s="180">
        <f t="shared" si="10"/>
        <v>-0.30760749724366043</v>
      </c>
      <c r="Z76" s="166">
        <f t="shared" si="29"/>
        <v>2.1155066638459911E-4</v>
      </c>
    </row>
    <row r="77" spans="1:26" x14ac:dyDescent="0.25">
      <c r="A77" s="168" t="s">
        <v>147</v>
      </c>
      <c r="B77" s="169" t="s">
        <v>147</v>
      </c>
      <c r="C77" s="170">
        <f>C69-SUM(C70:C76)</f>
        <v>0</v>
      </c>
      <c r="D77" s="170">
        <f>D69-SUM(D70:D76)</f>
        <v>0</v>
      </c>
      <c r="E77" s="170">
        <f>E69-SUM(E70:E76)</f>
        <v>0</v>
      </c>
      <c r="F77" s="170">
        <f>F69-SUM(F70:F76)</f>
        <v>0</v>
      </c>
      <c r="G77" s="170">
        <f>G69-SUM(G70:G76)</f>
        <v>0</v>
      </c>
      <c r="H77" s="171" t="str">
        <f t="shared" si="30"/>
        <v>-</v>
      </c>
      <c r="I77" s="181" t="str">
        <f t="shared" si="35"/>
        <v>-</v>
      </c>
      <c r="J77" s="171">
        <f t="shared" si="31"/>
        <v>0</v>
      </c>
      <c r="K77" s="170">
        <f>K69-SUM(K70:K76)</f>
        <v>0</v>
      </c>
      <c r="L77" s="170">
        <f>L69-SUM(L70:L76)</f>
        <v>0</v>
      </c>
      <c r="M77" s="170">
        <f>M69-SUM(M70:M76)</f>
        <v>0</v>
      </c>
      <c r="N77" s="170">
        <f>N69-SUM(N70:N76)</f>
        <v>0</v>
      </c>
      <c r="O77" s="170">
        <f>O69-SUM(O70:O76)</f>
        <v>0</v>
      </c>
      <c r="P77" s="171" t="str">
        <f t="shared" si="32"/>
        <v>-</v>
      </c>
      <c r="Q77" s="181" t="str">
        <f t="shared" si="9"/>
        <v>-</v>
      </c>
      <c r="R77" s="171">
        <f t="shared" si="33"/>
        <v>0</v>
      </c>
      <c r="S77" s="170">
        <f>S69-SUM(S70:S76)</f>
        <v>6533</v>
      </c>
      <c r="T77" s="170">
        <f>T69-SUM(T70:T76)</f>
        <v>13696</v>
      </c>
      <c r="U77" s="170">
        <f>U69-SUM(U70:U76)</f>
        <v>34305</v>
      </c>
      <c r="V77" s="170">
        <f>V69-SUM(V70:V76)</f>
        <v>41457</v>
      </c>
      <c r="W77" s="170">
        <f>W69-SUM(W70:W76)</f>
        <v>47746</v>
      </c>
      <c r="X77" s="171">
        <f t="shared" si="34"/>
        <v>0.15169935113491095</v>
      </c>
      <c r="Y77" s="181">
        <f t="shared" si="10"/>
        <v>6.3084341037808054</v>
      </c>
      <c r="Z77" s="171">
        <f t="shared" si="29"/>
        <v>9.0829106512186134E-3</v>
      </c>
    </row>
    <row r="78" spans="1:26" x14ac:dyDescent="0.25">
      <c r="A78" s="1"/>
      <c r="B78" s="156" t="s">
        <v>50</v>
      </c>
      <c r="C78" s="154"/>
      <c r="D78" s="154"/>
      <c r="E78" s="154"/>
      <c r="F78" s="154"/>
      <c r="G78" s="154"/>
      <c r="H78" s="154"/>
      <c r="I78" s="154"/>
      <c r="J78" s="154"/>
      <c r="K78" s="154"/>
      <c r="L78" s="154"/>
      <c r="M78" s="154"/>
      <c r="N78" s="154"/>
      <c r="O78" s="154"/>
      <c r="P78" s="154"/>
      <c r="Q78" s="154"/>
      <c r="R78" s="154"/>
      <c r="S78" s="154"/>
      <c r="T78" s="154"/>
      <c r="U78" s="154"/>
      <c r="V78" s="154"/>
      <c r="W78" s="154"/>
      <c r="X78" s="154"/>
      <c r="Y78" s="154"/>
      <c r="Z78" s="154"/>
    </row>
    <row r="79" spans="1:26" x14ac:dyDescent="0.25">
      <c r="A79" s="1" t="s">
        <v>0</v>
      </c>
      <c r="B79" s="157" t="s">
        <v>70</v>
      </c>
      <c r="C79" s="177">
        <f>C80+C83</f>
        <v>34055</v>
      </c>
      <c r="D79" s="177">
        <f>D80+D83</f>
        <v>70827</v>
      </c>
      <c r="E79" s="177">
        <f>E80+E83</f>
        <v>98456</v>
      </c>
      <c r="F79" s="177">
        <f>F80+F83</f>
        <v>103299</v>
      </c>
      <c r="G79" s="177">
        <f>G80+G83</f>
        <v>118688</v>
      </c>
      <c r="H79" s="178">
        <f>IFERROR(G79/F79-1,"-")</f>
        <v>0.14897530469801246</v>
      </c>
      <c r="I79" s="178">
        <f t="shared" si="35"/>
        <v>2.4851857289678461</v>
      </c>
      <c r="J79" s="178">
        <f>G79/G$9</f>
        <v>0.15641333140048233</v>
      </c>
      <c r="K79" s="177">
        <f>K80+K83</f>
        <v>143122</v>
      </c>
      <c r="L79" s="177">
        <f>L80+L83</f>
        <v>214429</v>
      </c>
      <c r="M79" s="177">
        <f>M80+M83</f>
        <v>476344</v>
      </c>
      <c r="N79" s="177">
        <f>N80+N83</f>
        <v>549349</v>
      </c>
      <c r="O79" s="177">
        <f>O80+O83</f>
        <v>622363</v>
      </c>
      <c r="P79" s="178">
        <f>IFERROR(O79/N79-1,"-")</f>
        <v>0.13291004443441246</v>
      </c>
      <c r="Q79" s="178">
        <f t="shared" si="9"/>
        <v>3.3484789200821679</v>
      </c>
      <c r="R79" s="178">
        <f>O79/O$9</f>
        <v>0.17676598983762351</v>
      </c>
      <c r="S79" s="177">
        <f>S80+S83</f>
        <v>177177</v>
      </c>
      <c r="T79" s="177">
        <f>T80+T83</f>
        <v>285256</v>
      </c>
      <c r="U79" s="177">
        <f>U80+U83</f>
        <v>574800</v>
      </c>
      <c r="V79" s="177">
        <f>V80+V83</f>
        <v>652648</v>
      </c>
      <c r="W79" s="177">
        <f>W80+W83</f>
        <v>741051</v>
      </c>
      <c r="X79" s="178">
        <f>IFERROR(W79/V79-1,"-")</f>
        <v>0.13545280151015548</v>
      </c>
      <c r="Y79" s="178">
        <f t="shared" si="10"/>
        <v>3.1825462672920297</v>
      </c>
      <c r="Z79" s="178">
        <f t="shared" ref="Z79:Z91" si="36">U79/U$9</f>
        <v>0.15218939053550384</v>
      </c>
    </row>
    <row r="80" spans="1:26" x14ac:dyDescent="0.25">
      <c r="A80" s="1" t="s">
        <v>98</v>
      </c>
      <c r="B80" s="160" t="s">
        <v>99</v>
      </c>
      <c r="C80" s="161">
        <v>15296</v>
      </c>
      <c r="D80" s="161">
        <v>38077</v>
      </c>
      <c r="E80" s="161">
        <v>48839</v>
      </c>
      <c r="F80" s="161">
        <v>49185</v>
      </c>
      <c r="G80" s="161">
        <v>55960</v>
      </c>
      <c r="H80" s="162">
        <f>IFERROR(G80/F80-1,"-")</f>
        <v>0.13774524753481754</v>
      </c>
      <c r="I80" s="179">
        <f t="shared" si="35"/>
        <v>2.6584728033472804</v>
      </c>
      <c r="J80" s="162">
        <f>G80/G$9</f>
        <v>7.3747051304015501E-2</v>
      </c>
      <c r="K80" s="161">
        <v>67449</v>
      </c>
      <c r="L80" s="161">
        <v>109519</v>
      </c>
      <c r="M80" s="161">
        <v>230615</v>
      </c>
      <c r="N80" s="161">
        <v>229974</v>
      </c>
      <c r="O80" s="161">
        <v>243808</v>
      </c>
      <c r="P80" s="162">
        <f>IFERROR(O80/N80-1,"-")</f>
        <v>6.0154626175132897E-2</v>
      </c>
      <c r="Q80" s="179">
        <f t="shared" si="9"/>
        <v>2.6147014781538642</v>
      </c>
      <c r="R80" s="162">
        <f>O80/O$9</f>
        <v>6.9247308163131988E-2</v>
      </c>
      <c r="S80" s="161">
        <v>82745</v>
      </c>
      <c r="T80" s="161">
        <v>147596</v>
      </c>
      <c r="U80" s="161">
        <v>279454</v>
      </c>
      <c r="V80" s="161">
        <v>279159</v>
      </c>
      <c r="W80" s="161">
        <v>299768</v>
      </c>
      <c r="X80" s="162">
        <f>IFERROR(W80/V80-1,"-")</f>
        <v>7.3825311023467011E-2</v>
      </c>
      <c r="Y80" s="179">
        <f t="shared" si="10"/>
        <v>2.6227929180010876</v>
      </c>
      <c r="Z80" s="162">
        <f t="shared" si="36"/>
        <v>7.3990838452868288E-2</v>
      </c>
    </row>
    <row r="81" spans="1:26" x14ac:dyDescent="0.25">
      <c r="A81" s="163" t="s">
        <v>105</v>
      </c>
      <c r="B81" s="164" t="s">
        <v>105</v>
      </c>
      <c r="C81" s="165">
        <v>7696</v>
      </c>
      <c r="D81" s="165">
        <v>24218</v>
      </c>
      <c r="E81" s="165">
        <v>29828</v>
      </c>
      <c r="F81" s="165">
        <v>29979</v>
      </c>
      <c r="G81" s="165">
        <v>30308</v>
      </c>
      <c r="H81" s="166">
        <f>IFERROR(G81/F81-1,"-")</f>
        <v>1.0974348710764303E-2</v>
      </c>
      <c r="I81" s="180">
        <f t="shared" si="35"/>
        <v>2.938149688149688</v>
      </c>
      <c r="J81" s="166">
        <f>G81/G$9</f>
        <v>3.9941487328843846E-2</v>
      </c>
      <c r="K81" s="165">
        <v>11781</v>
      </c>
      <c r="L81" s="165">
        <v>24585</v>
      </c>
      <c r="M81" s="165">
        <v>36378</v>
      </c>
      <c r="N81" s="165">
        <v>30210</v>
      </c>
      <c r="O81" s="165">
        <v>42021</v>
      </c>
      <c r="P81" s="166">
        <f>IFERROR(O81/N81-1,"-")</f>
        <v>0.39096325719960268</v>
      </c>
      <c r="Q81" s="180">
        <f t="shared" si="9"/>
        <v>2.5668449197860963</v>
      </c>
      <c r="R81" s="166">
        <f>O81/O$9</f>
        <v>1.1934969879261424E-2</v>
      </c>
      <c r="S81" s="165">
        <v>19477</v>
      </c>
      <c r="T81" s="165">
        <v>48803</v>
      </c>
      <c r="U81" s="165">
        <v>66206</v>
      </c>
      <c r="V81" s="165">
        <v>60189</v>
      </c>
      <c r="W81" s="165">
        <v>72329</v>
      </c>
      <c r="X81" s="166">
        <f>IFERROR(W81/V81-1,"-")</f>
        <v>0.20169798468158628</v>
      </c>
      <c r="Y81" s="180">
        <f t="shared" si="10"/>
        <v>2.713559583098013</v>
      </c>
      <c r="Z81" s="166">
        <f t="shared" si="36"/>
        <v>1.7529315918221239E-2</v>
      </c>
    </row>
    <row r="82" spans="1:26" x14ac:dyDescent="0.25">
      <c r="A82" s="163" t="s">
        <v>102</v>
      </c>
      <c r="B82" s="164" t="s">
        <v>102</v>
      </c>
      <c r="C82" s="165">
        <v>7600</v>
      </c>
      <c r="D82" s="165">
        <v>13859</v>
      </c>
      <c r="E82" s="165">
        <v>19011</v>
      </c>
      <c r="F82" s="165">
        <v>19206</v>
      </c>
      <c r="G82" s="165">
        <v>25652</v>
      </c>
      <c r="H82" s="166">
        <f>IFERROR(G82/F82-1,"-")</f>
        <v>0.33562428407789224</v>
      </c>
      <c r="I82" s="180">
        <f t="shared" si="35"/>
        <v>2.3752631578947367</v>
      </c>
      <c r="J82" s="166">
        <f>G82/G$9</f>
        <v>3.3805563975171649E-2</v>
      </c>
      <c r="K82" s="165">
        <v>55668</v>
      </c>
      <c r="L82" s="165">
        <v>84934</v>
      </c>
      <c r="M82" s="165">
        <v>194237</v>
      </c>
      <c r="N82" s="165">
        <v>199764</v>
      </c>
      <c r="O82" s="165">
        <v>201787</v>
      </c>
      <c r="P82" s="166">
        <f>IFERROR(O82/N82-1,"-")</f>
        <v>1.0126949800765006E-2</v>
      </c>
      <c r="Q82" s="180">
        <f t="shared" si="9"/>
        <v>2.6248293454049003</v>
      </c>
      <c r="R82" s="166">
        <f>O82/O$9</f>
        <v>5.7312338283870563E-2</v>
      </c>
      <c r="S82" s="165">
        <v>63268</v>
      </c>
      <c r="T82" s="165">
        <v>98793</v>
      </c>
      <c r="U82" s="165">
        <v>213248</v>
      </c>
      <c r="V82" s="165">
        <v>218970</v>
      </c>
      <c r="W82" s="165">
        <v>227439</v>
      </c>
      <c r="X82" s="166">
        <f>IFERROR(W82/V82-1,"-")</f>
        <v>3.8676531031648143E-2</v>
      </c>
      <c r="Y82" s="180">
        <f t="shared" si="10"/>
        <v>2.5948504773345134</v>
      </c>
      <c r="Z82" s="166">
        <f t="shared" si="36"/>
        <v>5.6461522534647049E-2</v>
      </c>
    </row>
    <row r="83" spans="1:26" x14ac:dyDescent="0.25">
      <c r="A83" s="1" t="s">
        <v>148</v>
      </c>
      <c r="B83" s="160" t="s">
        <v>109</v>
      </c>
      <c r="C83" s="161">
        <v>18759</v>
      </c>
      <c r="D83" s="161">
        <v>32750</v>
      </c>
      <c r="E83" s="161">
        <v>49617</v>
      </c>
      <c r="F83" s="161">
        <v>54114</v>
      </c>
      <c r="G83" s="161">
        <v>62728</v>
      </c>
      <c r="H83" s="162">
        <f>IFERROR(G83/F83-1,"-")</f>
        <v>0.15918246664449121</v>
      </c>
      <c r="I83" s="179">
        <f t="shared" si="35"/>
        <v>2.3438882669651901</v>
      </c>
      <c r="J83" s="162">
        <f>G83/G$9</f>
        <v>8.2666280096466843E-2</v>
      </c>
      <c r="K83" s="161">
        <v>75673</v>
      </c>
      <c r="L83" s="161">
        <v>104910</v>
      </c>
      <c r="M83" s="161">
        <v>245729</v>
      </c>
      <c r="N83" s="161">
        <v>319375</v>
      </c>
      <c r="O83" s="161">
        <v>378555</v>
      </c>
      <c r="P83" s="162">
        <f>IFERROR(O83/N83-1,"-")</f>
        <v>0.18529941291585117</v>
      </c>
      <c r="Q83" s="179">
        <f t="shared" si="9"/>
        <v>4.0025108030605372</v>
      </c>
      <c r="R83" s="162">
        <f>O83/O$9</f>
        <v>0.10751868167449152</v>
      </c>
      <c r="S83" s="161">
        <v>94432</v>
      </c>
      <c r="T83" s="161">
        <v>137660</v>
      </c>
      <c r="U83" s="161">
        <v>295346</v>
      </c>
      <c r="V83" s="161">
        <v>373489</v>
      </c>
      <c r="W83" s="161">
        <v>441283</v>
      </c>
      <c r="X83" s="162">
        <f>IFERROR(W83/V83-1,"-")</f>
        <v>0.18151538599530381</v>
      </c>
      <c r="Y83" s="179">
        <f t="shared" si="10"/>
        <v>3.6730239749237548</v>
      </c>
      <c r="Z83" s="162">
        <f t="shared" si="36"/>
        <v>7.8198552082635556E-2</v>
      </c>
    </row>
    <row r="84" spans="1:26" x14ac:dyDescent="0.25">
      <c r="A84" s="163" t="s">
        <v>112</v>
      </c>
      <c r="B84" s="164" t="s">
        <v>112</v>
      </c>
      <c r="C84" s="165">
        <v>2578</v>
      </c>
      <c r="D84" s="165">
        <v>3228</v>
      </c>
      <c r="E84" s="165">
        <v>5828</v>
      </c>
      <c r="F84" s="165">
        <v>7060</v>
      </c>
      <c r="G84" s="165">
        <v>9146</v>
      </c>
      <c r="H84" s="166">
        <f t="shared" ref="H84:H91" si="37">IFERROR(G84/F84-1,"-")</f>
        <v>0.29546742209631738</v>
      </c>
      <c r="I84" s="180">
        <f t="shared" si="35"/>
        <v>2.5477114041892941</v>
      </c>
      <c r="J84" s="166">
        <f t="shared" ref="J84:J91" si="38">G84/G$9</f>
        <v>1.2053083116985807E-2</v>
      </c>
      <c r="K84" s="165">
        <v>15879</v>
      </c>
      <c r="L84" s="165">
        <v>11210</v>
      </c>
      <c r="M84" s="165">
        <v>56300</v>
      </c>
      <c r="N84" s="165">
        <v>75139</v>
      </c>
      <c r="O84" s="165">
        <v>87125</v>
      </c>
      <c r="P84" s="166">
        <f t="shared" ref="P84:P91" si="39">IFERROR(O84/N84-1,"-")</f>
        <v>0.15951769387402015</v>
      </c>
      <c r="Q84" s="180">
        <f t="shared" si="9"/>
        <v>4.4868064739593176</v>
      </c>
      <c r="R84" s="166">
        <f t="shared" ref="R84:R91" si="40">O84/O$9</f>
        <v>2.4745585557950825E-2</v>
      </c>
      <c r="S84" s="165">
        <v>18457</v>
      </c>
      <c r="T84" s="165">
        <v>14438</v>
      </c>
      <c r="U84" s="165">
        <v>62128</v>
      </c>
      <c r="V84" s="165">
        <v>82199</v>
      </c>
      <c r="W84" s="165">
        <v>96271</v>
      </c>
      <c r="X84" s="166">
        <f t="shared" ref="X84:X91" si="41">IFERROR(W84/V84-1,"-")</f>
        <v>0.17119429676760056</v>
      </c>
      <c r="Y84" s="180">
        <f t="shared" si="10"/>
        <v>4.2159614238500298</v>
      </c>
      <c r="Z84" s="166">
        <f t="shared" si="36"/>
        <v>1.6449586734846526E-2</v>
      </c>
    </row>
    <row r="85" spans="1:26" x14ac:dyDescent="0.25">
      <c r="A85" s="163" t="s">
        <v>115</v>
      </c>
      <c r="B85" s="164" t="s">
        <v>115</v>
      </c>
      <c r="C85" s="165">
        <v>5409</v>
      </c>
      <c r="D85" s="165">
        <v>8563</v>
      </c>
      <c r="E85" s="165">
        <v>13220</v>
      </c>
      <c r="F85" s="165">
        <v>14980</v>
      </c>
      <c r="G85" s="165">
        <v>15604</v>
      </c>
      <c r="H85" s="166">
        <f t="shared" si="37"/>
        <v>4.1655540720961337E-2</v>
      </c>
      <c r="I85" s="180">
        <f t="shared" si="35"/>
        <v>1.8848215936402291</v>
      </c>
      <c r="J85" s="166">
        <f t="shared" si="38"/>
        <v>2.0563777493707251E-2</v>
      </c>
      <c r="K85" s="165">
        <v>27251</v>
      </c>
      <c r="L85" s="165">
        <v>36097</v>
      </c>
      <c r="M85" s="165">
        <v>84214</v>
      </c>
      <c r="N85" s="165">
        <v>96686</v>
      </c>
      <c r="O85" s="165">
        <v>107377</v>
      </c>
      <c r="P85" s="166">
        <f t="shared" si="39"/>
        <v>0.11057443683677048</v>
      </c>
      <c r="Q85" s="180">
        <f t="shared" si="9"/>
        <v>2.9402957689626068</v>
      </c>
      <c r="R85" s="166">
        <f t="shared" si="40"/>
        <v>3.0497638340959376E-2</v>
      </c>
      <c r="S85" s="165">
        <v>32660</v>
      </c>
      <c r="T85" s="165">
        <v>44660</v>
      </c>
      <c r="U85" s="165">
        <v>97434</v>
      </c>
      <c r="V85" s="165">
        <v>111666</v>
      </c>
      <c r="W85" s="165">
        <v>122981</v>
      </c>
      <c r="X85" s="166">
        <f t="shared" si="41"/>
        <v>0.101328963157989</v>
      </c>
      <c r="Y85" s="180">
        <f t="shared" si="10"/>
        <v>2.7654929577464791</v>
      </c>
      <c r="Z85" s="166">
        <f t="shared" si="36"/>
        <v>2.5797531449958735E-2</v>
      </c>
    </row>
    <row r="86" spans="1:26" x14ac:dyDescent="0.25">
      <c r="A86" s="163" t="s">
        <v>118</v>
      </c>
      <c r="B86" s="164" t="s">
        <v>118</v>
      </c>
      <c r="C86" s="165">
        <v>1714</v>
      </c>
      <c r="D86" s="165">
        <v>5280</v>
      </c>
      <c r="E86" s="165">
        <v>5870</v>
      </c>
      <c r="F86" s="165">
        <v>5315</v>
      </c>
      <c r="G86" s="165">
        <v>6020</v>
      </c>
      <c r="H86" s="166">
        <f t="shared" si="37"/>
        <v>0.13264346190028231</v>
      </c>
      <c r="I86" s="180">
        <f t="shared" si="35"/>
        <v>2.5122520420070011</v>
      </c>
      <c r="J86" s="166">
        <f t="shared" si="38"/>
        <v>7.933474782883726E-3</v>
      </c>
      <c r="K86" s="165">
        <v>5151</v>
      </c>
      <c r="L86" s="165">
        <v>11108</v>
      </c>
      <c r="M86" s="165">
        <v>20133</v>
      </c>
      <c r="N86" s="165">
        <v>32539</v>
      </c>
      <c r="O86" s="165">
        <v>46070</v>
      </c>
      <c r="P86" s="166">
        <f t="shared" si="39"/>
        <v>0.41583945419342938</v>
      </c>
      <c r="Q86" s="180">
        <f t="shared" si="9"/>
        <v>7.9438943894389435</v>
      </c>
      <c r="R86" s="166">
        <f t="shared" si="40"/>
        <v>1.3084982802350582E-2</v>
      </c>
      <c r="S86" s="165">
        <v>6865</v>
      </c>
      <c r="T86" s="165">
        <v>16388</v>
      </c>
      <c r="U86" s="165">
        <v>26003</v>
      </c>
      <c r="V86" s="165">
        <v>37854</v>
      </c>
      <c r="W86" s="165">
        <v>52090</v>
      </c>
      <c r="X86" s="166">
        <f t="shared" si="41"/>
        <v>0.37607650446452157</v>
      </c>
      <c r="Y86" s="180">
        <f t="shared" si="10"/>
        <v>6.5877640203932994</v>
      </c>
      <c r="Z86" s="166">
        <f t="shared" si="36"/>
        <v>6.8847959674577354E-3</v>
      </c>
    </row>
    <row r="87" spans="1:26" x14ac:dyDescent="0.25">
      <c r="A87" s="163" t="s">
        <v>125</v>
      </c>
      <c r="B87" s="164" t="s">
        <v>125</v>
      </c>
      <c r="C87" s="165">
        <v>286</v>
      </c>
      <c r="D87" s="165">
        <v>921</v>
      </c>
      <c r="E87" s="165">
        <v>1133</v>
      </c>
      <c r="F87" s="165">
        <v>1153</v>
      </c>
      <c r="G87" s="165">
        <v>1481</v>
      </c>
      <c r="H87" s="166">
        <f t="shared" si="37"/>
        <v>0.28447528187337379</v>
      </c>
      <c r="I87" s="180">
        <f t="shared" si="35"/>
        <v>4.1783216783216783</v>
      </c>
      <c r="J87" s="166">
        <f t="shared" si="38"/>
        <v>1.951740224825714E-3</v>
      </c>
      <c r="K87" s="165">
        <v>1248</v>
      </c>
      <c r="L87" s="165">
        <v>2935</v>
      </c>
      <c r="M87" s="165">
        <v>4473</v>
      </c>
      <c r="N87" s="165">
        <v>6684</v>
      </c>
      <c r="O87" s="165">
        <v>11325</v>
      </c>
      <c r="P87" s="166">
        <f t="shared" si="39"/>
        <v>0.69434470377019752</v>
      </c>
      <c r="Q87" s="180">
        <f t="shared" ref="Q87:Q150" si="42">IFERROR(O87/K87-1,"-")</f>
        <v>8.0745192307692299</v>
      </c>
      <c r="R87" s="166">
        <f t="shared" si="40"/>
        <v>3.2165710926116853E-3</v>
      </c>
      <c r="S87" s="165">
        <v>1534</v>
      </c>
      <c r="T87" s="165">
        <v>3856</v>
      </c>
      <c r="U87" s="165">
        <v>5606</v>
      </c>
      <c r="V87" s="165">
        <v>7837</v>
      </c>
      <c r="W87" s="165">
        <v>12806</v>
      </c>
      <c r="X87" s="166">
        <f t="shared" si="41"/>
        <v>0.63404363914763295</v>
      </c>
      <c r="Y87" s="180">
        <f t="shared" ref="Y87:Y150" si="43">IFERROR(W87/S87-1,"-")</f>
        <v>7.3481095176010438</v>
      </c>
      <c r="Z87" s="166">
        <f t="shared" si="36"/>
        <v>1.4842966655219808E-3</v>
      </c>
    </row>
    <row r="88" spans="1:26" x14ac:dyDescent="0.25">
      <c r="A88" s="163" t="s">
        <v>121</v>
      </c>
      <c r="B88" s="164" t="s">
        <v>121</v>
      </c>
      <c r="C88" s="165">
        <v>240</v>
      </c>
      <c r="D88" s="165">
        <v>804</v>
      </c>
      <c r="E88" s="165">
        <v>921</v>
      </c>
      <c r="F88" s="165">
        <v>774</v>
      </c>
      <c r="G88" s="165">
        <v>909</v>
      </c>
      <c r="H88" s="166">
        <f t="shared" si="37"/>
        <v>0.17441860465116288</v>
      </c>
      <c r="I88" s="180">
        <f t="shared" si="35"/>
        <v>2.7875000000000001</v>
      </c>
      <c r="J88" s="166">
        <f t="shared" si="38"/>
        <v>1.1979283351563632E-3</v>
      </c>
      <c r="K88" s="165">
        <v>1576</v>
      </c>
      <c r="L88" s="165">
        <v>3904</v>
      </c>
      <c r="M88" s="165">
        <v>4162</v>
      </c>
      <c r="N88" s="165">
        <v>5494</v>
      </c>
      <c r="O88" s="165">
        <v>7100</v>
      </c>
      <c r="P88" s="166">
        <f t="shared" si="39"/>
        <v>0.29231889333818706</v>
      </c>
      <c r="Q88" s="180">
        <f t="shared" si="42"/>
        <v>3.5050761421319798</v>
      </c>
      <c r="R88" s="166">
        <f t="shared" si="40"/>
        <v>2.0165699565159352E-3</v>
      </c>
      <c r="S88" s="165">
        <v>1816</v>
      </c>
      <c r="T88" s="165">
        <v>4708</v>
      </c>
      <c r="U88" s="165">
        <v>5083</v>
      </c>
      <c r="V88" s="165">
        <v>6268</v>
      </c>
      <c r="W88" s="165">
        <v>8009</v>
      </c>
      <c r="X88" s="166">
        <f t="shared" si="41"/>
        <v>0.27776005105296742</v>
      </c>
      <c r="Y88" s="180">
        <f t="shared" si="43"/>
        <v>3.410242290748899</v>
      </c>
      <c r="Z88" s="166">
        <f t="shared" si="36"/>
        <v>1.345822324446705E-3</v>
      </c>
    </row>
    <row r="89" spans="1:26" x14ac:dyDescent="0.25">
      <c r="A89" s="163" t="s">
        <v>130</v>
      </c>
      <c r="B89" s="164" t="s">
        <v>130</v>
      </c>
      <c r="C89" s="165">
        <v>286</v>
      </c>
      <c r="D89" s="165">
        <v>296</v>
      </c>
      <c r="E89" s="165">
        <v>433</v>
      </c>
      <c r="F89" s="165">
        <v>454</v>
      </c>
      <c r="G89" s="165">
        <v>500</v>
      </c>
      <c r="H89" s="166">
        <f t="shared" si="37"/>
        <v>0.1013215859030836</v>
      </c>
      <c r="I89" s="180">
        <f t="shared" si="35"/>
        <v>0.74825174825174834</v>
      </c>
      <c r="J89" s="166">
        <f t="shared" si="38"/>
        <v>6.589264769836982E-4</v>
      </c>
      <c r="K89" s="165">
        <v>1422</v>
      </c>
      <c r="L89" s="165">
        <v>781</v>
      </c>
      <c r="M89" s="165">
        <v>2952</v>
      </c>
      <c r="N89" s="165">
        <v>3351</v>
      </c>
      <c r="O89" s="165">
        <v>3056</v>
      </c>
      <c r="P89" s="166">
        <f t="shared" si="39"/>
        <v>-8.8033422858848076E-2</v>
      </c>
      <c r="Q89" s="180">
        <f t="shared" si="42"/>
        <v>1.1490857946554147</v>
      </c>
      <c r="R89" s="166">
        <f t="shared" si="40"/>
        <v>8.6797715311446449E-4</v>
      </c>
      <c r="S89" s="165">
        <v>1708</v>
      </c>
      <c r="T89" s="165">
        <v>1077</v>
      </c>
      <c r="U89" s="165">
        <v>3385</v>
      </c>
      <c r="V89" s="165">
        <v>3805</v>
      </c>
      <c r="W89" s="165">
        <v>3556</v>
      </c>
      <c r="X89" s="166">
        <f t="shared" si="41"/>
        <v>-6.5440210249671504E-2</v>
      </c>
      <c r="Y89" s="180">
        <f t="shared" si="43"/>
        <v>1.081967213114754</v>
      </c>
      <c r="Z89" s="166">
        <f t="shared" si="36"/>
        <v>8.9624406221760697E-4</v>
      </c>
    </row>
    <row r="90" spans="1:26" x14ac:dyDescent="0.25">
      <c r="A90" s="163" t="s">
        <v>133</v>
      </c>
      <c r="B90" s="164" t="s">
        <v>133</v>
      </c>
      <c r="C90" s="165">
        <v>408</v>
      </c>
      <c r="D90" s="165">
        <v>385</v>
      </c>
      <c r="E90" s="165">
        <v>658</v>
      </c>
      <c r="F90" s="165">
        <v>679</v>
      </c>
      <c r="G90" s="165">
        <v>636</v>
      </c>
      <c r="H90" s="166">
        <f t="shared" si="37"/>
        <v>-6.3328424153166418E-2</v>
      </c>
      <c r="I90" s="180">
        <f t="shared" si="35"/>
        <v>0.55882352941176472</v>
      </c>
      <c r="J90" s="166">
        <f t="shared" si="38"/>
        <v>8.3815447872326407E-4</v>
      </c>
      <c r="K90" s="165">
        <v>1922</v>
      </c>
      <c r="L90" s="165">
        <v>947</v>
      </c>
      <c r="M90" s="165">
        <v>3040</v>
      </c>
      <c r="N90" s="165">
        <v>3728</v>
      </c>
      <c r="O90" s="165">
        <v>4053</v>
      </c>
      <c r="P90" s="166">
        <f t="shared" si="39"/>
        <v>8.7178111587982832E-2</v>
      </c>
      <c r="Q90" s="180">
        <f t="shared" si="42"/>
        <v>1.1087408949011448</v>
      </c>
      <c r="R90" s="166">
        <f t="shared" si="40"/>
        <v>1.1511490188393077E-3</v>
      </c>
      <c r="S90" s="165">
        <v>2330</v>
      </c>
      <c r="T90" s="165">
        <v>1332</v>
      </c>
      <c r="U90" s="165">
        <v>3698</v>
      </c>
      <c r="V90" s="165">
        <v>4407</v>
      </c>
      <c r="W90" s="165">
        <v>4689</v>
      </c>
      <c r="X90" s="166">
        <f t="shared" si="41"/>
        <v>6.3989108236895742E-2</v>
      </c>
      <c r="Y90" s="180">
        <f t="shared" si="43"/>
        <v>1.0124463519313305</v>
      </c>
      <c r="Z90" s="166">
        <f t="shared" si="36"/>
        <v>9.7911685142709325E-4</v>
      </c>
    </row>
    <row r="91" spans="1:26" x14ac:dyDescent="0.25">
      <c r="A91" s="168" t="s">
        <v>147</v>
      </c>
      <c r="B91" s="169" t="s">
        <v>147</v>
      </c>
      <c r="C91" s="170">
        <f>C83-SUM(C84:C90)</f>
        <v>7838</v>
      </c>
      <c r="D91" s="170">
        <f>D83-SUM(D84:D90)</f>
        <v>13273</v>
      </c>
      <c r="E91" s="170">
        <f>E83-SUM(E84:E90)</f>
        <v>21554</v>
      </c>
      <c r="F91" s="170">
        <f>F83-SUM(F84:F90)</f>
        <v>23699</v>
      </c>
      <c r="G91" s="170">
        <f>G83-SUM(G84:G90)</f>
        <v>28432</v>
      </c>
      <c r="H91" s="171">
        <f t="shared" si="37"/>
        <v>0.19971306806194344</v>
      </c>
      <c r="I91" s="181">
        <f t="shared" si="35"/>
        <v>2.6274559836693032</v>
      </c>
      <c r="J91" s="171">
        <f t="shared" si="38"/>
        <v>3.7469195187201015E-2</v>
      </c>
      <c r="K91" s="170">
        <f>K83-SUM(K84:K90)</f>
        <v>21224</v>
      </c>
      <c r="L91" s="170">
        <f>L83-SUM(L84:L90)</f>
        <v>37928</v>
      </c>
      <c r="M91" s="170">
        <f>M83-SUM(M84:M90)</f>
        <v>70455</v>
      </c>
      <c r="N91" s="170">
        <f>N83-SUM(N84:N90)</f>
        <v>95754</v>
      </c>
      <c r="O91" s="170">
        <f>O83-SUM(O84:O90)</f>
        <v>112449</v>
      </c>
      <c r="P91" s="171">
        <f t="shared" si="39"/>
        <v>0.17435302963844856</v>
      </c>
      <c r="Q91" s="181">
        <f t="shared" si="42"/>
        <v>4.2982001507727103</v>
      </c>
      <c r="R91" s="171">
        <f t="shared" si="40"/>
        <v>3.1938207752149353E-2</v>
      </c>
      <c r="S91" s="170">
        <f>S83-SUM(S84:S90)</f>
        <v>29062</v>
      </c>
      <c r="T91" s="170">
        <f>T83-SUM(T84:T90)</f>
        <v>51201</v>
      </c>
      <c r="U91" s="170">
        <f>U83-SUM(U84:U90)</f>
        <v>92009</v>
      </c>
      <c r="V91" s="170">
        <f>V83-SUM(V84:V90)</f>
        <v>119453</v>
      </c>
      <c r="W91" s="170">
        <f>W83-SUM(W84:W90)</f>
        <v>140881</v>
      </c>
      <c r="X91" s="171">
        <f t="shared" si="41"/>
        <v>0.17938436037604744</v>
      </c>
      <c r="Y91" s="181">
        <f t="shared" si="43"/>
        <v>3.8476016791686742</v>
      </c>
      <c r="Z91" s="171">
        <f t="shared" si="36"/>
        <v>2.4361158026759172E-2</v>
      </c>
    </row>
    <row r="92" spans="1:26" x14ac:dyDescent="0.25">
      <c r="A92" s="1"/>
      <c r="B92" s="156" t="s">
        <v>51</v>
      </c>
      <c r="C92" s="154"/>
      <c r="D92" s="154"/>
      <c r="E92" s="154"/>
      <c r="F92" s="154"/>
      <c r="G92" s="154"/>
      <c r="H92" s="154"/>
      <c r="I92" s="154"/>
      <c r="J92" s="154"/>
      <c r="K92" s="154"/>
      <c r="L92" s="154"/>
      <c r="M92" s="154"/>
      <c r="N92" s="154"/>
      <c r="O92" s="154"/>
      <c r="P92" s="154"/>
      <c r="Q92" s="154"/>
      <c r="R92" s="154"/>
      <c r="S92" s="154"/>
      <c r="T92" s="154"/>
      <c r="U92" s="154"/>
      <c r="V92" s="154"/>
      <c r="W92" s="154"/>
      <c r="X92" s="154"/>
      <c r="Y92" s="154"/>
      <c r="Z92" s="154"/>
    </row>
    <row r="93" spans="1:26" x14ac:dyDescent="0.25">
      <c r="A93" s="1" t="s">
        <v>0</v>
      </c>
      <c r="B93" s="157" t="s">
        <v>70</v>
      </c>
      <c r="C93" s="177">
        <f>C94+C97</f>
        <v>0</v>
      </c>
      <c r="D93" s="177">
        <f>D94+D97</f>
        <v>0</v>
      </c>
      <c r="E93" s="177">
        <f>E94+E97</f>
        <v>5131</v>
      </c>
      <c r="F93" s="177">
        <f>F94+F97</f>
        <v>7607</v>
      </c>
      <c r="G93" s="177">
        <f>G94+G97</f>
        <v>7923</v>
      </c>
      <c r="H93" s="178">
        <f>IFERROR(G93/F93-1,"-")</f>
        <v>4.1540686210069566E-2</v>
      </c>
      <c r="I93" s="178" t="str">
        <f t="shared" si="35"/>
        <v>-</v>
      </c>
      <c r="J93" s="178">
        <f>G93/G$9</f>
        <v>1.0441348954283681E-2</v>
      </c>
      <c r="K93" s="177">
        <f>K94+K97</f>
        <v>0</v>
      </c>
      <c r="L93" s="177">
        <f>L94+L97</f>
        <v>0</v>
      </c>
      <c r="M93" s="177">
        <f>M94+M97</f>
        <v>46354</v>
      </c>
      <c r="N93" s="177">
        <f>N94+N97</f>
        <v>50550</v>
      </c>
      <c r="O93" s="177">
        <f>O94+O97</f>
        <v>49465</v>
      </c>
      <c r="P93" s="178">
        <f>IFERROR(O93/N93-1,"-")</f>
        <v>-2.1463897131552945E-2</v>
      </c>
      <c r="Q93" s="178" t="str">
        <f t="shared" si="42"/>
        <v>-</v>
      </c>
      <c r="R93" s="178">
        <f>O93/O$9</f>
        <v>1.4049244070290245E-2</v>
      </c>
      <c r="S93" s="177">
        <f>S94+S97</f>
        <v>24221</v>
      </c>
      <c r="T93" s="177">
        <f>T94+T97</f>
        <v>33444</v>
      </c>
      <c r="U93" s="177">
        <f>U94+U97</f>
        <v>51485</v>
      </c>
      <c r="V93" s="177">
        <f>V94+V97</f>
        <v>58157</v>
      </c>
      <c r="W93" s="177">
        <f>W94+W97</f>
        <v>57388</v>
      </c>
      <c r="X93" s="178">
        <f>IFERROR(W93/V93-1,"-")</f>
        <v>-1.3222827862510056E-2</v>
      </c>
      <c r="Y93" s="178">
        <f t="shared" si="43"/>
        <v>1.3693489121010693</v>
      </c>
      <c r="Z93" s="178">
        <f t="shared" ref="Z93:Z105" si="44">U93/U$9</f>
        <v>1.3631647132429394E-2</v>
      </c>
    </row>
    <row r="94" spans="1:26" x14ac:dyDescent="0.25">
      <c r="A94" s="1" t="s">
        <v>98</v>
      </c>
      <c r="B94" s="160" t="s">
        <v>99</v>
      </c>
      <c r="C94" s="161">
        <v>0</v>
      </c>
      <c r="D94" s="161">
        <v>0</v>
      </c>
      <c r="E94" s="161">
        <v>3937</v>
      </c>
      <c r="F94" s="161">
        <v>5346</v>
      </c>
      <c r="G94" s="161">
        <v>5742</v>
      </c>
      <c r="H94" s="162">
        <f>IFERROR(G94/F94-1,"-")</f>
        <v>7.4074074074074181E-2</v>
      </c>
      <c r="I94" s="179" t="str">
        <f t="shared" si="35"/>
        <v>-</v>
      </c>
      <c r="J94" s="162">
        <f>G94/G$9</f>
        <v>7.5671116616807896E-3</v>
      </c>
      <c r="K94" s="161">
        <v>0</v>
      </c>
      <c r="L94" s="161">
        <v>0</v>
      </c>
      <c r="M94" s="161">
        <v>29872</v>
      </c>
      <c r="N94" s="161">
        <v>32376</v>
      </c>
      <c r="O94" s="161">
        <v>30079</v>
      </c>
      <c r="P94" s="162">
        <f>IFERROR(O94/N94-1,"-")</f>
        <v>-7.0947615517667373E-2</v>
      </c>
      <c r="Q94" s="179" t="str">
        <f t="shared" si="42"/>
        <v>-</v>
      </c>
      <c r="R94" s="162">
        <f>O94/O$9</f>
        <v>8.5431560171891283E-3</v>
      </c>
      <c r="S94" s="161">
        <v>16023</v>
      </c>
      <c r="T94" s="161">
        <v>21732</v>
      </c>
      <c r="U94" s="161">
        <v>33809</v>
      </c>
      <c r="V94" s="161">
        <v>37722</v>
      </c>
      <c r="W94" s="161">
        <v>35821</v>
      </c>
      <c r="X94" s="162">
        <f>IFERROR(W94/V94-1,"-")</f>
        <v>-5.0394994963151474E-2</v>
      </c>
      <c r="Y94" s="179">
        <f t="shared" si="43"/>
        <v>1.2355988266866378</v>
      </c>
      <c r="Z94" s="162">
        <f t="shared" si="44"/>
        <v>8.9515850810975104E-3</v>
      </c>
    </row>
    <row r="95" spans="1:26" x14ac:dyDescent="0.25">
      <c r="A95" s="163" t="s">
        <v>105</v>
      </c>
      <c r="B95" s="164" t="s">
        <v>105</v>
      </c>
      <c r="C95" s="165">
        <v>0</v>
      </c>
      <c r="D95" s="165">
        <v>0</v>
      </c>
      <c r="E95" s="165">
        <v>2928</v>
      </c>
      <c r="F95" s="165">
        <v>3814</v>
      </c>
      <c r="G95" s="165">
        <v>4202</v>
      </c>
      <c r="H95" s="166">
        <f>IFERROR(G95/F95-1,"-")</f>
        <v>0.10173046670162567</v>
      </c>
      <c r="I95" s="180" t="str">
        <f t="shared" si="35"/>
        <v>-</v>
      </c>
      <c r="J95" s="166">
        <f>G95/G$9</f>
        <v>5.5376181125709996E-3</v>
      </c>
      <c r="K95" s="165">
        <v>0</v>
      </c>
      <c r="L95" s="165">
        <v>0</v>
      </c>
      <c r="M95" s="165">
        <v>13361</v>
      </c>
      <c r="N95" s="165">
        <v>8210</v>
      </c>
      <c r="O95" s="165">
        <v>7675</v>
      </c>
      <c r="P95" s="166">
        <f>IFERROR(O95/N95-1,"-")</f>
        <v>-6.5164433617539541E-2</v>
      </c>
      <c r="Q95" s="180" t="str">
        <f t="shared" si="42"/>
        <v>-</v>
      </c>
      <c r="R95" s="166">
        <f>O95/O$9</f>
        <v>2.1798837205999721E-3</v>
      </c>
      <c r="S95" s="165">
        <v>8684</v>
      </c>
      <c r="T95" s="165">
        <v>11001</v>
      </c>
      <c r="U95" s="165">
        <v>16289</v>
      </c>
      <c r="V95" s="165">
        <v>12024</v>
      </c>
      <c r="W95" s="165">
        <v>11877</v>
      </c>
      <c r="X95" s="166">
        <f>IFERROR(W95/V95-1,"-")</f>
        <v>-1.2225548902195627E-2</v>
      </c>
      <c r="Y95" s="180">
        <f t="shared" si="43"/>
        <v>0.36768770152003682</v>
      </c>
      <c r="Z95" s="166">
        <f t="shared" si="44"/>
        <v>4.3128270397230729E-3</v>
      </c>
    </row>
    <row r="96" spans="1:26" x14ac:dyDescent="0.25">
      <c r="A96" s="163" t="s">
        <v>102</v>
      </c>
      <c r="B96" s="164" t="s">
        <v>102</v>
      </c>
      <c r="C96" s="165">
        <v>0</v>
      </c>
      <c r="D96" s="165">
        <v>0</v>
      </c>
      <c r="E96" s="165">
        <v>1009</v>
      </c>
      <c r="F96" s="165">
        <v>1532</v>
      </c>
      <c r="G96" s="165">
        <v>1540</v>
      </c>
      <c r="H96" s="166">
        <f>IFERROR(G96/F96-1,"-")</f>
        <v>5.2219321148825326E-3</v>
      </c>
      <c r="I96" s="180" t="str">
        <f t="shared" si="35"/>
        <v>-</v>
      </c>
      <c r="J96" s="166">
        <f>G96/G$9</f>
        <v>2.0294935491097905E-3</v>
      </c>
      <c r="K96" s="165">
        <v>0</v>
      </c>
      <c r="L96" s="165">
        <v>0</v>
      </c>
      <c r="M96" s="165">
        <v>16511</v>
      </c>
      <c r="N96" s="165">
        <v>24166</v>
      </c>
      <c r="O96" s="165">
        <v>22404</v>
      </c>
      <c r="P96" s="166">
        <f>IFERROR(O96/N96-1,"-")</f>
        <v>-7.2912356202929685E-2</v>
      </c>
      <c r="Q96" s="180" t="str">
        <f t="shared" si="42"/>
        <v>-</v>
      </c>
      <c r="R96" s="166">
        <f>O96/O$9</f>
        <v>6.3632722965891566E-3</v>
      </c>
      <c r="S96" s="165">
        <v>7339</v>
      </c>
      <c r="T96" s="165">
        <v>10731</v>
      </c>
      <c r="U96" s="165">
        <v>17520</v>
      </c>
      <c r="V96" s="165">
        <v>25698</v>
      </c>
      <c r="W96" s="165">
        <v>23944</v>
      </c>
      <c r="X96" s="166">
        <f>IFERROR(W96/V96-1,"-")</f>
        <v>-6.8254338859055186E-2</v>
      </c>
      <c r="Y96" s="180">
        <f t="shared" si="43"/>
        <v>2.2625698324022347</v>
      </c>
      <c r="Z96" s="166">
        <f t="shared" si="44"/>
        <v>4.6387580413744384E-3</v>
      </c>
    </row>
    <row r="97" spans="1:26" x14ac:dyDescent="0.25">
      <c r="A97" s="1" t="s">
        <v>148</v>
      </c>
      <c r="B97" s="160" t="s">
        <v>109</v>
      </c>
      <c r="C97" s="161">
        <v>0</v>
      </c>
      <c r="D97" s="161">
        <v>0</v>
      </c>
      <c r="E97" s="161">
        <v>1194</v>
      </c>
      <c r="F97" s="161">
        <v>2261</v>
      </c>
      <c r="G97" s="161">
        <v>2181</v>
      </c>
      <c r="H97" s="162">
        <f>IFERROR(G97/F97-1,"-")</f>
        <v>-3.5382574082264528E-2</v>
      </c>
      <c r="I97" s="179" t="str">
        <f t="shared" si="35"/>
        <v>-</v>
      </c>
      <c r="J97" s="162">
        <f>G97/G$9</f>
        <v>2.8742372926028915E-3</v>
      </c>
      <c r="K97" s="161">
        <v>0</v>
      </c>
      <c r="L97" s="161">
        <v>0</v>
      </c>
      <c r="M97" s="161">
        <v>16482</v>
      </c>
      <c r="N97" s="161">
        <v>18174</v>
      </c>
      <c r="O97" s="161">
        <v>19386</v>
      </c>
      <c r="P97" s="162">
        <f>IFERROR(O97/N97-1,"-")</f>
        <v>6.6688676130736146E-2</v>
      </c>
      <c r="Q97" s="179" t="str">
        <f t="shared" si="42"/>
        <v>-</v>
      </c>
      <c r="R97" s="162">
        <f>O97/O$9</f>
        <v>5.5060880531011156E-3</v>
      </c>
      <c r="S97" s="161">
        <v>8198</v>
      </c>
      <c r="T97" s="161">
        <v>11712</v>
      </c>
      <c r="U97" s="161">
        <v>17676</v>
      </c>
      <c r="V97" s="161">
        <v>20435</v>
      </c>
      <c r="W97" s="161">
        <v>21567</v>
      </c>
      <c r="X97" s="162">
        <f>IFERROR(W97/V97-1,"-")</f>
        <v>5.539515537068751E-2</v>
      </c>
      <c r="Y97" s="179">
        <f t="shared" si="43"/>
        <v>1.6307636008782631</v>
      </c>
      <c r="Z97" s="162">
        <f t="shared" si="44"/>
        <v>4.6800620513318819E-3</v>
      </c>
    </row>
    <row r="98" spans="1:26" x14ac:dyDescent="0.25">
      <c r="A98" s="163" t="s">
        <v>112</v>
      </c>
      <c r="B98" s="164" t="s">
        <v>112</v>
      </c>
      <c r="C98" s="165">
        <v>0</v>
      </c>
      <c r="D98" s="165">
        <v>0</v>
      </c>
      <c r="E98" s="165">
        <v>50</v>
      </c>
      <c r="F98" s="165">
        <v>173</v>
      </c>
      <c r="G98" s="165">
        <v>203</v>
      </c>
      <c r="H98" s="166">
        <f t="shared" ref="H98:H105" si="45">IFERROR(G98/F98-1,"-")</f>
        <v>0.17341040462427748</v>
      </c>
      <c r="I98" s="180" t="str">
        <f t="shared" si="35"/>
        <v>-</v>
      </c>
      <c r="J98" s="166">
        <f t="shared" ref="J98:J105" si="46">G98/G$9</f>
        <v>2.6752414965538145E-4</v>
      </c>
      <c r="K98" s="165">
        <v>0</v>
      </c>
      <c r="L98" s="165">
        <v>0</v>
      </c>
      <c r="M98" s="165">
        <v>2353</v>
      </c>
      <c r="N98" s="165">
        <v>2622</v>
      </c>
      <c r="O98" s="165">
        <v>2827</v>
      </c>
      <c r="P98" s="166">
        <f t="shared" ref="P98:P105" si="47">IFERROR(O98/N98-1,"-")</f>
        <v>7.8184591914568946E-2</v>
      </c>
      <c r="Q98" s="180" t="str">
        <f t="shared" si="42"/>
        <v>-</v>
      </c>
      <c r="R98" s="166">
        <f t="shared" ref="R98:R105" si="48">O98/O$9</f>
        <v>8.029356714183871E-4</v>
      </c>
      <c r="S98" s="165">
        <v>1288</v>
      </c>
      <c r="T98" s="165">
        <v>921</v>
      </c>
      <c r="U98" s="165">
        <v>2403</v>
      </c>
      <c r="V98" s="165">
        <v>2795</v>
      </c>
      <c r="W98" s="165">
        <v>3030</v>
      </c>
      <c r="X98" s="166">
        <f t="shared" ref="X98:X105" si="49">IFERROR(W98/V98-1,"-")</f>
        <v>8.4078711985688726E-2</v>
      </c>
      <c r="Y98" s="180">
        <f t="shared" si="43"/>
        <v>1.3524844720496896</v>
      </c>
      <c r="Z98" s="166">
        <f t="shared" si="44"/>
        <v>6.3624061492139131E-4</v>
      </c>
    </row>
    <row r="99" spans="1:26" x14ac:dyDescent="0.25">
      <c r="A99" s="163" t="s">
        <v>115</v>
      </c>
      <c r="B99" s="164" t="s">
        <v>115</v>
      </c>
      <c r="C99" s="165">
        <v>0</v>
      </c>
      <c r="D99" s="165">
        <v>0</v>
      </c>
      <c r="E99" s="165">
        <v>194</v>
      </c>
      <c r="F99" s="165">
        <v>319</v>
      </c>
      <c r="G99" s="165">
        <v>341</v>
      </c>
      <c r="H99" s="166">
        <f t="shared" si="45"/>
        <v>6.8965517241379226E-2</v>
      </c>
      <c r="I99" s="180" t="str">
        <f t="shared" si="35"/>
        <v>-</v>
      </c>
      <c r="J99" s="166">
        <f t="shared" si="46"/>
        <v>4.4938785730288215E-4</v>
      </c>
      <c r="K99" s="165">
        <v>0</v>
      </c>
      <c r="L99" s="165">
        <v>0</v>
      </c>
      <c r="M99" s="165">
        <v>3288</v>
      </c>
      <c r="N99" s="165">
        <v>3495</v>
      </c>
      <c r="O99" s="165">
        <v>3893</v>
      </c>
      <c r="P99" s="166">
        <f t="shared" si="47"/>
        <v>0.11387696709585127</v>
      </c>
      <c r="Q99" s="180" t="str">
        <f t="shared" si="42"/>
        <v>-</v>
      </c>
      <c r="R99" s="166">
        <f t="shared" si="48"/>
        <v>1.1057051888333149E-3</v>
      </c>
      <c r="S99" s="165">
        <v>1481</v>
      </c>
      <c r="T99" s="165">
        <v>2395</v>
      </c>
      <c r="U99" s="165">
        <v>3482</v>
      </c>
      <c r="V99" s="165">
        <v>3814</v>
      </c>
      <c r="W99" s="165">
        <v>4234</v>
      </c>
      <c r="X99" s="166">
        <f t="shared" si="49"/>
        <v>0.11012060828526482</v>
      </c>
      <c r="Y99" s="180">
        <f t="shared" si="43"/>
        <v>1.8588791357191088</v>
      </c>
      <c r="Z99" s="166">
        <f t="shared" si="44"/>
        <v>9.219266837937098E-4</v>
      </c>
    </row>
    <row r="100" spans="1:26" x14ac:dyDescent="0.25">
      <c r="A100" s="163" t="s">
        <v>118</v>
      </c>
      <c r="B100" s="164" t="s">
        <v>118</v>
      </c>
      <c r="C100" s="165">
        <v>0</v>
      </c>
      <c r="D100" s="165">
        <v>0</v>
      </c>
      <c r="E100" s="165">
        <v>346</v>
      </c>
      <c r="F100" s="165">
        <v>771</v>
      </c>
      <c r="G100" s="165">
        <v>574</v>
      </c>
      <c r="H100" s="166">
        <f t="shared" si="45"/>
        <v>-0.25551232166018156</v>
      </c>
      <c r="I100" s="180" t="str">
        <f t="shared" si="35"/>
        <v>-</v>
      </c>
      <c r="J100" s="166">
        <f t="shared" si="46"/>
        <v>7.5644759557728545E-4</v>
      </c>
      <c r="K100" s="165">
        <v>0</v>
      </c>
      <c r="L100" s="165">
        <v>0</v>
      </c>
      <c r="M100" s="165">
        <v>3066</v>
      </c>
      <c r="N100" s="165">
        <v>3114</v>
      </c>
      <c r="O100" s="165">
        <v>3111</v>
      </c>
      <c r="P100" s="166">
        <f t="shared" si="47"/>
        <v>-9.633911368015502E-4</v>
      </c>
      <c r="Q100" s="180" t="str">
        <f t="shared" si="42"/>
        <v>-</v>
      </c>
      <c r="R100" s="166">
        <f t="shared" si="48"/>
        <v>8.835984696790246E-4</v>
      </c>
      <c r="S100" s="165">
        <v>1974</v>
      </c>
      <c r="T100" s="165">
        <v>3541</v>
      </c>
      <c r="U100" s="165">
        <v>3412</v>
      </c>
      <c r="V100" s="165">
        <v>3885</v>
      </c>
      <c r="W100" s="165">
        <v>3685</v>
      </c>
      <c r="X100" s="166">
        <f t="shared" si="49"/>
        <v>-5.1480051480051525E-2</v>
      </c>
      <c r="Y100" s="180">
        <f t="shared" si="43"/>
        <v>0.86676798378926034</v>
      </c>
      <c r="Z100" s="166">
        <f t="shared" si="44"/>
        <v>9.0339283317177998E-4</v>
      </c>
    </row>
    <row r="101" spans="1:26" x14ac:dyDescent="0.25">
      <c r="A101" s="163" t="s">
        <v>125</v>
      </c>
      <c r="B101" s="164" t="s">
        <v>125</v>
      </c>
      <c r="C101" s="165">
        <v>0</v>
      </c>
      <c r="D101" s="165">
        <v>0</v>
      </c>
      <c r="E101" s="165">
        <v>32</v>
      </c>
      <c r="F101" s="165">
        <v>58</v>
      </c>
      <c r="G101" s="165">
        <v>90</v>
      </c>
      <c r="H101" s="166">
        <f t="shared" si="45"/>
        <v>0.55172413793103448</v>
      </c>
      <c r="I101" s="180" t="str">
        <f t="shared" si="35"/>
        <v>-</v>
      </c>
      <c r="J101" s="166">
        <f t="shared" si="46"/>
        <v>1.1860676585706567E-4</v>
      </c>
      <c r="K101" s="165">
        <v>0</v>
      </c>
      <c r="L101" s="165">
        <v>0</v>
      </c>
      <c r="M101" s="165">
        <v>1140</v>
      </c>
      <c r="N101" s="165">
        <v>880</v>
      </c>
      <c r="O101" s="165">
        <v>843</v>
      </c>
      <c r="P101" s="166">
        <f t="shared" si="47"/>
        <v>-4.2045454545454497E-2</v>
      </c>
      <c r="Q101" s="180" t="str">
        <f t="shared" si="42"/>
        <v>-</v>
      </c>
      <c r="R101" s="166">
        <f t="shared" si="48"/>
        <v>2.3943217934407511E-4</v>
      </c>
      <c r="S101" s="165">
        <v>323</v>
      </c>
      <c r="T101" s="165">
        <v>432</v>
      </c>
      <c r="U101" s="165">
        <v>1172</v>
      </c>
      <c r="V101" s="165">
        <v>938</v>
      </c>
      <c r="W101" s="165">
        <v>933</v>
      </c>
      <c r="X101" s="166">
        <f t="shared" si="49"/>
        <v>-5.3304904051172386E-3</v>
      </c>
      <c r="Y101" s="180">
        <f t="shared" si="43"/>
        <v>1.8885448916408669</v>
      </c>
      <c r="Z101" s="166">
        <f t="shared" si="44"/>
        <v>3.1030961327002524E-4</v>
      </c>
    </row>
    <row r="102" spans="1:26" x14ac:dyDescent="0.25">
      <c r="A102" s="163" t="s">
        <v>121</v>
      </c>
      <c r="B102" s="164" t="s">
        <v>121</v>
      </c>
      <c r="C102" s="165">
        <v>0</v>
      </c>
      <c r="D102" s="165">
        <v>0</v>
      </c>
      <c r="E102" s="165">
        <v>15</v>
      </c>
      <c r="F102" s="165">
        <v>87</v>
      </c>
      <c r="G102" s="165">
        <v>64</v>
      </c>
      <c r="H102" s="166">
        <f t="shared" si="45"/>
        <v>-0.26436781609195403</v>
      </c>
      <c r="I102" s="180" t="str">
        <f t="shared" si="35"/>
        <v>-</v>
      </c>
      <c r="J102" s="166">
        <f t="shared" si="46"/>
        <v>8.4342589053913367E-5</v>
      </c>
      <c r="K102" s="165">
        <v>0</v>
      </c>
      <c r="L102" s="165">
        <v>0</v>
      </c>
      <c r="M102" s="165">
        <v>667</v>
      </c>
      <c r="N102" s="165">
        <v>563</v>
      </c>
      <c r="O102" s="165">
        <v>839</v>
      </c>
      <c r="P102" s="166">
        <f t="shared" si="47"/>
        <v>0.49023090586145646</v>
      </c>
      <c r="Q102" s="180" t="str">
        <f t="shared" si="42"/>
        <v>-</v>
      </c>
      <c r="R102" s="166">
        <f t="shared" si="48"/>
        <v>2.382960835939253E-4</v>
      </c>
      <c r="S102" s="165">
        <v>351</v>
      </c>
      <c r="T102" s="165">
        <v>507</v>
      </c>
      <c r="U102" s="165">
        <v>682</v>
      </c>
      <c r="V102" s="165">
        <v>650</v>
      </c>
      <c r="W102" s="165">
        <v>903</v>
      </c>
      <c r="X102" s="166">
        <f t="shared" si="49"/>
        <v>0.38923076923076927</v>
      </c>
      <c r="Y102" s="180">
        <f t="shared" si="43"/>
        <v>1.5726495726495728</v>
      </c>
      <c r="Z102" s="166">
        <f t="shared" si="44"/>
        <v>1.8057265891651639E-4</v>
      </c>
    </row>
    <row r="103" spans="1:26" x14ac:dyDescent="0.25">
      <c r="A103" s="163" t="s">
        <v>130</v>
      </c>
      <c r="B103" s="164" t="s">
        <v>130</v>
      </c>
      <c r="C103" s="165">
        <v>0</v>
      </c>
      <c r="D103" s="165">
        <v>0</v>
      </c>
      <c r="E103" s="165">
        <v>10</v>
      </c>
      <c r="F103" s="165">
        <v>22</v>
      </c>
      <c r="G103" s="165">
        <v>28</v>
      </c>
      <c r="H103" s="166">
        <f t="shared" si="45"/>
        <v>0.27272727272727271</v>
      </c>
      <c r="I103" s="180" t="str">
        <f t="shared" si="35"/>
        <v>-</v>
      </c>
      <c r="J103" s="166">
        <f t="shared" si="46"/>
        <v>3.68998827110871E-5</v>
      </c>
      <c r="K103" s="165">
        <v>0</v>
      </c>
      <c r="L103" s="165">
        <v>0</v>
      </c>
      <c r="M103" s="165">
        <v>260</v>
      </c>
      <c r="N103" s="165">
        <v>131</v>
      </c>
      <c r="O103" s="165">
        <v>202</v>
      </c>
      <c r="P103" s="166">
        <f t="shared" si="47"/>
        <v>0.54198473282442738</v>
      </c>
      <c r="Q103" s="180" t="str">
        <f t="shared" si="42"/>
        <v>-</v>
      </c>
      <c r="R103" s="166">
        <f t="shared" si="48"/>
        <v>5.7372835382566045E-5</v>
      </c>
      <c r="S103" s="165">
        <v>124</v>
      </c>
      <c r="T103" s="165">
        <v>105</v>
      </c>
      <c r="U103" s="165">
        <v>270</v>
      </c>
      <c r="V103" s="165">
        <v>153</v>
      </c>
      <c r="W103" s="165">
        <v>230</v>
      </c>
      <c r="X103" s="166">
        <f t="shared" si="49"/>
        <v>0.50326797385620914</v>
      </c>
      <c r="Y103" s="180">
        <f t="shared" si="43"/>
        <v>0.85483870967741926</v>
      </c>
      <c r="Z103" s="166">
        <f t="shared" si="44"/>
        <v>7.1487709541729355E-5</v>
      </c>
    </row>
    <row r="104" spans="1:26" x14ac:dyDescent="0.25">
      <c r="A104" s="163" t="s">
        <v>133</v>
      </c>
      <c r="B104" s="164" t="s">
        <v>133</v>
      </c>
      <c r="C104" s="165">
        <v>0</v>
      </c>
      <c r="D104" s="165">
        <v>0</v>
      </c>
      <c r="E104" s="165">
        <v>11</v>
      </c>
      <c r="F104" s="165">
        <v>10</v>
      </c>
      <c r="G104" s="165">
        <v>25</v>
      </c>
      <c r="H104" s="166">
        <f t="shared" si="45"/>
        <v>1.5</v>
      </c>
      <c r="I104" s="180" t="str">
        <f t="shared" si="35"/>
        <v>-</v>
      </c>
      <c r="J104" s="166">
        <f t="shared" si="46"/>
        <v>3.2946323849184909E-5</v>
      </c>
      <c r="K104" s="165">
        <v>0</v>
      </c>
      <c r="L104" s="165">
        <v>0</v>
      </c>
      <c r="M104" s="165">
        <v>157</v>
      </c>
      <c r="N104" s="165">
        <v>260</v>
      </c>
      <c r="O104" s="165">
        <v>359</v>
      </c>
      <c r="P104" s="166">
        <f t="shared" si="47"/>
        <v>0.38076923076923075</v>
      </c>
      <c r="Q104" s="180" t="str">
        <f t="shared" si="42"/>
        <v>-</v>
      </c>
      <c r="R104" s="166">
        <f t="shared" si="48"/>
        <v>1.0196459357594658E-4</v>
      </c>
      <c r="S104" s="165">
        <v>89</v>
      </c>
      <c r="T104" s="165">
        <v>96</v>
      </c>
      <c r="U104" s="165">
        <v>168</v>
      </c>
      <c r="V104" s="165">
        <v>270</v>
      </c>
      <c r="W104" s="165">
        <v>384</v>
      </c>
      <c r="X104" s="166">
        <f t="shared" si="49"/>
        <v>0.42222222222222228</v>
      </c>
      <c r="Y104" s="180">
        <f t="shared" si="43"/>
        <v>3.3146067415730336</v>
      </c>
      <c r="Z104" s="166">
        <f t="shared" si="44"/>
        <v>4.44812414926316E-5</v>
      </c>
    </row>
    <row r="105" spans="1:26" x14ac:dyDescent="0.25">
      <c r="A105" s="168" t="s">
        <v>147</v>
      </c>
      <c r="B105" s="169" t="s">
        <v>147</v>
      </c>
      <c r="C105" s="170">
        <f>C97-SUM(C98:C104)</f>
        <v>0</v>
      </c>
      <c r="D105" s="170">
        <f>D97-SUM(D98:D104)</f>
        <v>0</v>
      </c>
      <c r="E105" s="170">
        <f>E97-SUM(E98:E104)</f>
        <v>536</v>
      </c>
      <c r="F105" s="170">
        <f>F97-SUM(F98:F104)</f>
        <v>821</v>
      </c>
      <c r="G105" s="170">
        <f>G97-SUM(G98:G104)</f>
        <v>856</v>
      </c>
      <c r="H105" s="171">
        <f t="shared" si="45"/>
        <v>4.2630937880633324E-2</v>
      </c>
      <c r="I105" s="181" t="str">
        <f t="shared" si="35"/>
        <v>-</v>
      </c>
      <c r="J105" s="171">
        <f t="shared" si="46"/>
        <v>1.1280821285960913E-3</v>
      </c>
      <c r="K105" s="170">
        <f>K97-SUM(K98:K104)</f>
        <v>0</v>
      </c>
      <c r="L105" s="170">
        <f>L97-SUM(L98:L104)</f>
        <v>0</v>
      </c>
      <c r="M105" s="170">
        <f>M97-SUM(M98:M104)</f>
        <v>5551</v>
      </c>
      <c r="N105" s="170">
        <f>N97-SUM(N98:N104)</f>
        <v>7109</v>
      </c>
      <c r="O105" s="170">
        <f>O97-SUM(O98:O104)</f>
        <v>7312</v>
      </c>
      <c r="P105" s="171">
        <f t="shared" si="47"/>
        <v>2.8555352370234877E-2</v>
      </c>
      <c r="Q105" s="181" t="str">
        <f t="shared" si="42"/>
        <v>-</v>
      </c>
      <c r="R105" s="171">
        <f t="shared" si="48"/>
        <v>2.0767830312738759E-3</v>
      </c>
      <c r="S105" s="170">
        <f>S97-SUM(S98:S104)</f>
        <v>2568</v>
      </c>
      <c r="T105" s="170">
        <f>T97-SUM(T98:T104)</f>
        <v>3715</v>
      </c>
      <c r="U105" s="170">
        <f>U97-SUM(U98:U104)</f>
        <v>6087</v>
      </c>
      <c r="V105" s="170">
        <f>V97-SUM(V98:V104)</f>
        <v>7930</v>
      </c>
      <c r="W105" s="170">
        <f>W97-SUM(W98:W104)</f>
        <v>8168</v>
      </c>
      <c r="X105" s="171">
        <f t="shared" si="49"/>
        <v>3.0012610340479196E-2</v>
      </c>
      <c r="Y105" s="181">
        <f t="shared" si="43"/>
        <v>2.1806853582554515</v>
      </c>
      <c r="Z105" s="171">
        <f t="shared" si="44"/>
        <v>1.6116506962240986E-3</v>
      </c>
    </row>
    <row r="106" spans="1:26" x14ac:dyDescent="0.25">
      <c r="A106" s="1"/>
      <c r="B106" s="156" t="s">
        <v>52</v>
      </c>
      <c r="C106" s="154"/>
      <c r="D106" s="154"/>
      <c r="E106" s="154"/>
      <c r="F106" s="154"/>
      <c r="G106" s="154"/>
      <c r="H106" s="154"/>
      <c r="I106" s="154"/>
      <c r="J106" s="154"/>
      <c r="K106" s="154"/>
      <c r="L106" s="154"/>
      <c r="M106" s="154"/>
      <c r="N106" s="154"/>
      <c r="O106" s="154"/>
      <c r="P106" s="154"/>
      <c r="Q106" s="154"/>
      <c r="R106" s="154"/>
      <c r="S106" s="154"/>
      <c r="T106" s="154"/>
      <c r="U106" s="154"/>
      <c r="V106" s="154"/>
      <c r="W106" s="154"/>
      <c r="X106" s="154"/>
      <c r="Y106" s="154"/>
      <c r="Z106" s="154"/>
    </row>
    <row r="107" spans="1:26" x14ac:dyDescent="0.25">
      <c r="A107" s="1" t="s">
        <v>0</v>
      </c>
      <c r="B107" s="157" t="s">
        <v>70</v>
      </c>
      <c r="C107" s="177">
        <f>C108+C111</f>
        <v>0</v>
      </c>
      <c r="D107" s="177">
        <f>D108+D111</f>
        <v>0</v>
      </c>
      <c r="E107" s="177">
        <f>E108+E111</f>
        <v>0</v>
      </c>
      <c r="F107" s="177">
        <f>F108+F111</f>
        <v>0</v>
      </c>
      <c r="G107" s="177">
        <f>G108+G111</f>
        <v>0</v>
      </c>
      <c r="H107" s="178" t="str">
        <f>IFERROR(G107/F107-1,"-")</f>
        <v>-</v>
      </c>
      <c r="I107" s="178" t="str">
        <f t="shared" si="35"/>
        <v>-</v>
      </c>
      <c r="J107" s="178">
        <f>G107/G$9</f>
        <v>0</v>
      </c>
      <c r="K107" s="177">
        <f>K108+K111</f>
        <v>0</v>
      </c>
      <c r="L107" s="177">
        <f>L108+L111</f>
        <v>0</v>
      </c>
      <c r="M107" s="177">
        <f>M108+M111</f>
        <v>0</v>
      </c>
      <c r="N107" s="177">
        <f>N108+N111</f>
        <v>0</v>
      </c>
      <c r="O107" s="177">
        <f>O108+O111</f>
        <v>0</v>
      </c>
      <c r="P107" s="178" t="str">
        <f>IFERROR(O107/N107-1,"-")</f>
        <v>-</v>
      </c>
      <c r="Q107" s="178" t="str">
        <f t="shared" si="42"/>
        <v>-</v>
      </c>
      <c r="R107" s="178">
        <f>O107/O$9</f>
        <v>0</v>
      </c>
      <c r="S107" s="177">
        <f>S108+S111</f>
        <v>63499</v>
      </c>
      <c r="T107" s="177">
        <f>T108+T111</f>
        <v>95997</v>
      </c>
      <c r="U107" s="177">
        <f>U108+U111</f>
        <v>169794</v>
      </c>
      <c r="V107" s="177">
        <f>V108+V111</f>
        <v>220761</v>
      </c>
      <c r="W107" s="177">
        <f>W108+W111</f>
        <v>207278</v>
      </c>
      <c r="X107" s="178">
        <f>IFERROR(W107/V107-1,"-")</f>
        <v>-6.1075099315549441E-2</v>
      </c>
      <c r="Y107" s="178">
        <f t="shared" si="43"/>
        <v>2.2642718782972961</v>
      </c>
      <c r="Z107" s="178">
        <f t="shared" ref="Z107:Z119" si="50">U107/U$9</f>
        <v>4.4956237607142208E-2</v>
      </c>
    </row>
    <row r="108" spans="1:26" x14ac:dyDescent="0.25">
      <c r="A108" s="1" t="s">
        <v>98</v>
      </c>
      <c r="B108" s="160" t="s">
        <v>99</v>
      </c>
      <c r="C108" s="161">
        <v>0</v>
      </c>
      <c r="D108" s="161">
        <v>0</v>
      </c>
      <c r="E108" s="161">
        <v>0</v>
      </c>
      <c r="F108" s="161">
        <v>0</v>
      </c>
      <c r="G108" s="161">
        <v>0</v>
      </c>
      <c r="H108" s="162" t="str">
        <f>IFERROR(G108/F108-1,"-")</f>
        <v>-</v>
      </c>
      <c r="I108" s="179" t="str">
        <f t="shared" si="35"/>
        <v>-</v>
      </c>
      <c r="J108" s="162">
        <f>G108/G$9</f>
        <v>0</v>
      </c>
      <c r="K108" s="161">
        <v>0</v>
      </c>
      <c r="L108" s="161">
        <v>0</v>
      </c>
      <c r="M108" s="161">
        <v>0</v>
      </c>
      <c r="N108" s="161">
        <v>0</v>
      </c>
      <c r="O108" s="161">
        <v>0</v>
      </c>
      <c r="P108" s="162" t="str">
        <f>IFERROR(O108/N108-1,"-")</f>
        <v>-</v>
      </c>
      <c r="Q108" s="179" t="str">
        <f t="shared" si="42"/>
        <v>-</v>
      </c>
      <c r="R108" s="162">
        <f>O108/O$9</f>
        <v>0</v>
      </c>
      <c r="S108" s="161">
        <v>28387</v>
      </c>
      <c r="T108" s="161">
        <v>39659</v>
      </c>
      <c r="U108" s="161">
        <v>41132</v>
      </c>
      <c r="V108" s="161">
        <v>48543</v>
      </c>
      <c r="W108" s="161">
        <v>43479</v>
      </c>
      <c r="X108" s="162">
        <f>IFERROR(W108/V108-1,"-")</f>
        <v>-0.10431988134231507</v>
      </c>
      <c r="Y108" s="179">
        <f t="shared" si="43"/>
        <v>0.53165181244936055</v>
      </c>
      <c r="Z108" s="162">
        <f t="shared" si="50"/>
        <v>1.089049062544597E-2</v>
      </c>
    </row>
    <row r="109" spans="1:26" x14ac:dyDescent="0.25">
      <c r="A109" s="163" t="s">
        <v>105</v>
      </c>
      <c r="B109" s="164" t="s">
        <v>105</v>
      </c>
      <c r="C109" s="165">
        <v>0</v>
      </c>
      <c r="D109" s="165">
        <v>0</v>
      </c>
      <c r="E109" s="165">
        <v>0</v>
      </c>
      <c r="F109" s="165">
        <v>0</v>
      </c>
      <c r="G109" s="165">
        <v>0</v>
      </c>
      <c r="H109" s="166" t="str">
        <f>IFERROR(G109/F109-1,"-")</f>
        <v>-</v>
      </c>
      <c r="I109" s="180" t="str">
        <f t="shared" si="35"/>
        <v>-</v>
      </c>
      <c r="J109" s="166">
        <f>G109/G$9</f>
        <v>0</v>
      </c>
      <c r="K109" s="165">
        <v>0</v>
      </c>
      <c r="L109" s="165">
        <v>0</v>
      </c>
      <c r="M109" s="165">
        <v>0</v>
      </c>
      <c r="N109" s="165">
        <v>0</v>
      </c>
      <c r="O109" s="165">
        <v>0</v>
      </c>
      <c r="P109" s="166" t="str">
        <f>IFERROR(O109/N109-1,"-")</f>
        <v>-</v>
      </c>
      <c r="Q109" s="180" t="str">
        <f t="shared" si="42"/>
        <v>-</v>
      </c>
      <c r="R109" s="166">
        <f>O109/O$9</f>
        <v>0</v>
      </c>
      <c r="S109" s="165">
        <v>3383</v>
      </c>
      <c r="T109" s="165">
        <v>20351</v>
      </c>
      <c r="U109" s="165">
        <v>11031</v>
      </c>
      <c r="V109" s="165">
        <v>14560</v>
      </c>
      <c r="W109" s="165">
        <v>12208</v>
      </c>
      <c r="X109" s="166">
        <f>IFERROR(W109/V109-1,"-")</f>
        <v>-0.16153846153846152</v>
      </c>
      <c r="Y109" s="180">
        <f t="shared" si="43"/>
        <v>2.6086313922553948</v>
      </c>
      <c r="Z109" s="166">
        <f t="shared" si="50"/>
        <v>2.9206700887215429E-3</v>
      </c>
    </row>
    <row r="110" spans="1:26" x14ac:dyDescent="0.25">
      <c r="A110" s="163" t="s">
        <v>102</v>
      </c>
      <c r="B110" s="164" t="s">
        <v>102</v>
      </c>
      <c r="C110" s="165">
        <v>0</v>
      </c>
      <c r="D110" s="165">
        <v>0</v>
      </c>
      <c r="E110" s="165">
        <v>0</v>
      </c>
      <c r="F110" s="165">
        <v>0</v>
      </c>
      <c r="G110" s="165">
        <v>0</v>
      </c>
      <c r="H110" s="166" t="str">
        <f>IFERROR(G110/F110-1,"-")</f>
        <v>-</v>
      </c>
      <c r="I110" s="180" t="str">
        <f t="shared" si="35"/>
        <v>-</v>
      </c>
      <c r="J110" s="166">
        <f>G110/G$9</f>
        <v>0</v>
      </c>
      <c r="K110" s="165">
        <v>0</v>
      </c>
      <c r="L110" s="165">
        <v>0</v>
      </c>
      <c r="M110" s="165">
        <v>0</v>
      </c>
      <c r="N110" s="165">
        <v>0</v>
      </c>
      <c r="O110" s="165">
        <v>0</v>
      </c>
      <c r="P110" s="166" t="str">
        <f>IFERROR(O110/N110-1,"-")</f>
        <v>-</v>
      </c>
      <c r="Q110" s="180" t="str">
        <f t="shared" si="42"/>
        <v>-</v>
      </c>
      <c r="R110" s="166">
        <f>O110/O$9</f>
        <v>0</v>
      </c>
      <c r="S110" s="165">
        <v>25004</v>
      </c>
      <c r="T110" s="165">
        <v>19308</v>
      </c>
      <c r="U110" s="165">
        <v>30101</v>
      </c>
      <c r="V110" s="165">
        <v>33983</v>
      </c>
      <c r="W110" s="165">
        <v>31271</v>
      </c>
      <c r="X110" s="166">
        <f>IFERROR(W110/V110-1,"-")</f>
        <v>-7.9804608186446191E-2</v>
      </c>
      <c r="Y110" s="180">
        <f t="shared" si="43"/>
        <v>0.25063989761638128</v>
      </c>
      <c r="Z110" s="166">
        <f t="shared" si="50"/>
        <v>7.9698205367244278E-3</v>
      </c>
    </row>
    <row r="111" spans="1:26" x14ac:dyDescent="0.25">
      <c r="A111" s="1" t="s">
        <v>148</v>
      </c>
      <c r="B111" s="160" t="s">
        <v>109</v>
      </c>
      <c r="C111" s="161">
        <v>0</v>
      </c>
      <c r="D111" s="161">
        <v>0</v>
      </c>
      <c r="E111" s="161">
        <v>0</v>
      </c>
      <c r="F111" s="161">
        <v>0</v>
      </c>
      <c r="G111" s="161">
        <v>0</v>
      </c>
      <c r="H111" s="162" t="str">
        <f>IFERROR(G111/F111-1,"-")</f>
        <v>-</v>
      </c>
      <c r="I111" s="179" t="str">
        <f t="shared" si="35"/>
        <v>-</v>
      </c>
      <c r="J111" s="162">
        <f>G111/G$9</f>
        <v>0</v>
      </c>
      <c r="K111" s="161">
        <v>0</v>
      </c>
      <c r="L111" s="161">
        <v>0</v>
      </c>
      <c r="M111" s="161">
        <v>0</v>
      </c>
      <c r="N111" s="161">
        <v>0</v>
      </c>
      <c r="O111" s="161">
        <v>0</v>
      </c>
      <c r="P111" s="162" t="str">
        <f>IFERROR(O111/N111-1,"-")</f>
        <v>-</v>
      </c>
      <c r="Q111" s="179" t="str">
        <f t="shared" si="42"/>
        <v>-</v>
      </c>
      <c r="R111" s="162">
        <f>O111/O$9</f>
        <v>0</v>
      </c>
      <c r="S111" s="161">
        <v>35112</v>
      </c>
      <c r="T111" s="161">
        <v>56338</v>
      </c>
      <c r="U111" s="161">
        <v>128662</v>
      </c>
      <c r="V111" s="161">
        <v>172218</v>
      </c>
      <c r="W111" s="161">
        <v>163799</v>
      </c>
      <c r="X111" s="162">
        <f>IFERROR(W111/V111-1,"-")</f>
        <v>-4.8885714617519671E-2</v>
      </c>
      <c r="Y111" s="179">
        <f t="shared" si="43"/>
        <v>3.6650432900432897</v>
      </c>
      <c r="Z111" s="162">
        <f t="shared" si="50"/>
        <v>3.4065746981696232E-2</v>
      </c>
    </row>
    <row r="112" spans="1:26" x14ac:dyDescent="0.25">
      <c r="A112" s="163" t="s">
        <v>112</v>
      </c>
      <c r="B112" s="164" t="s">
        <v>112</v>
      </c>
      <c r="C112" s="165">
        <v>0</v>
      </c>
      <c r="D112" s="165">
        <v>0</v>
      </c>
      <c r="E112" s="165">
        <v>0</v>
      </c>
      <c r="F112" s="165">
        <v>0</v>
      </c>
      <c r="G112" s="165">
        <v>0</v>
      </c>
      <c r="H112" s="166" t="str">
        <f t="shared" ref="H112:H119" si="51">IFERROR(G112/F112-1,"-")</f>
        <v>-</v>
      </c>
      <c r="I112" s="180" t="str">
        <f t="shared" si="35"/>
        <v>-</v>
      </c>
      <c r="J112" s="166">
        <f t="shared" ref="J112:J119" si="52">G112/G$9</f>
        <v>0</v>
      </c>
      <c r="K112" s="165">
        <v>0</v>
      </c>
      <c r="L112" s="165">
        <v>0</v>
      </c>
      <c r="M112" s="165">
        <v>0</v>
      </c>
      <c r="N112" s="165">
        <v>0</v>
      </c>
      <c r="O112" s="165">
        <v>0</v>
      </c>
      <c r="P112" s="166" t="str">
        <f t="shared" ref="P112:P119" si="53">IFERROR(O112/N112-1,"-")</f>
        <v>-</v>
      </c>
      <c r="Q112" s="180" t="str">
        <f t="shared" si="42"/>
        <v>-</v>
      </c>
      <c r="R112" s="166">
        <f t="shared" ref="R112:R119" si="54">O112/O$9</f>
        <v>0</v>
      </c>
      <c r="S112" s="165">
        <v>20258</v>
      </c>
      <c r="T112" s="165">
        <v>23009</v>
      </c>
      <c r="U112" s="165">
        <v>77726</v>
      </c>
      <c r="V112" s="165">
        <v>113230</v>
      </c>
      <c r="W112" s="165">
        <v>102157</v>
      </c>
      <c r="X112" s="166">
        <f t="shared" ref="X112:X119" si="55">IFERROR(W112/V112-1,"-")</f>
        <v>-9.7792104565927795E-2</v>
      </c>
      <c r="Y112" s="180">
        <f t="shared" si="43"/>
        <v>4.042797906999704</v>
      </c>
      <c r="Z112" s="166">
        <f t="shared" si="50"/>
        <v>2.0579458192001691E-2</v>
      </c>
    </row>
    <row r="113" spans="1:26" x14ac:dyDescent="0.25">
      <c r="A113" s="163" t="s">
        <v>115</v>
      </c>
      <c r="B113" s="164" t="s">
        <v>115</v>
      </c>
      <c r="C113" s="165">
        <v>0</v>
      </c>
      <c r="D113" s="165">
        <v>0</v>
      </c>
      <c r="E113" s="165">
        <v>0</v>
      </c>
      <c r="F113" s="165">
        <v>0</v>
      </c>
      <c r="G113" s="165">
        <v>0</v>
      </c>
      <c r="H113" s="166" t="str">
        <f t="shared" si="51"/>
        <v>-</v>
      </c>
      <c r="I113" s="180" t="str">
        <f t="shared" si="35"/>
        <v>-</v>
      </c>
      <c r="J113" s="166">
        <f t="shared" si="52"/>
        <v>0</v>
      </c>
      <c r="K113" s="165">
        <v>0</v>
      </c>
      <c r="L113" s="165">
        <v>0</v>
      </c>
      <c r="M113" s="165">
        <v>0</v>
      </c>
      <c r="N113" s="165">
        <v>0</v>
      </c>
      <c r="O113" s="165">
        <v>0</v>
      </c>
      <c r="P113" s="166" t="str">
        <f t="shared" si="53"/>
        <v>-</v>
      </c>
      <c r="Q113" s="180" t="str">
        <f t="shared" si="42"/>
        <v>-</v>
      </c>
      <c r="R113" s="166">
        <f t="shared" si="54"/>
        <v>0</v>
      </c>
      <c r="S113" s="165">
        <v>2717</v>
      </c>
      <c r="T113" s="165">
        <v>6854</v>
      </c>
      <c r="U113" s="165">
        <v>5917</v>
      </c>
      <c r="V113" s="165">
        <v>7594</v>
      </c>
      <c r="W113" s="165">
        <v>7215</v>
      </c>
      <c r="X113" s="166">
        <f t="shared" si="55"/>
        <v>-4.9907821964708998E-2</v>
      </c>
      <c r="Y113" s="180">
        <f t="shared" si="43"/>
        <v>1.6555023923444976</v>
      </c>
      <c r="Z113" s="166">
        <f t="shared" si="50"/>
        <v>1.5666399161422689E-3</v>
      </c>
    </row>
    <row r="114" spans="1:26" x14ac:dyDescent="0.25">
      <c r="A114" s="163" t="s">
        <v>118</v>
      </c>
      <c r="B114" s="164" t="s">
        <v>118</v>
      </c>
      <c r="C114" s="165">
        <v>0</v>
      </c>
      <c r="D114" s="165">
        <v>0</v>
      </c>
      <c r="E114" s="165">
        <v>0</v>
      </c>
      <c r="F114" s="165">
        <v>0</v>
      </c>
      <c r="G114" s="165">
        <v>0</v>
      </c>
      <c r="H114" s="166" t="str">
        <f t="shared" si="51"/>
        <v>-</v>
      </c>
      <c r="I114" s="180" t="str">
        <f t="shared" si="35"/>
        <v>-</v>
      </c>
      <c r="J114" s="166">
        <f t="shared" si="52"/>
        <v>0</v>
      </c>
      <c r="K114" s="165">
        <v>0</v>
      </c>
      <c r="L114" s="165">
        <v>0</v>
      </c>
      <c r="M114" s="165">
        <v>0</v>
      </c>
      <c r="N114" s="165">
        <v>0</v>
      </c>
      <c r="O114" s="165">
        <v>0</v>
      </c>
      <c r="P114" s="166" t="str">
        <f t="shared" si="53"/>
        <v>-</v>
      </c>
      <c r="Q114" s="180" t="str">
        <f t="shared" si="42"/>
        <v>-</v>
      </c>
      <c r="R114" s="166">
        <f t="shared" si="54"/>
        <v>0</v>
      </c>
      <c r="S114" s="165">
        <v>1871</v>
      </c>
      <c r="T114" s="165">
        <v>6300</v>
      </c>
      <c r="U114" s="165">
        <v>8638</v>
      </c>
      <c r="V114" s="165">
        <v>12056</v>
      </c>
      <c r="W114" s="165">
        <v>12800</v>
      </c>
      <c r="X114" s="166">
        <f t="shared" si="55"/>
        <v>6.1712010617120061E-2</v>
      </c>
      <c r="Y114" s="180">
        <f t="shared" si="43"/>
        <v>5.841261357562801</v>
      </c>
      <c r="Z114" s="166">
        <f t="shared" si="50"/>
        <v>2.2870771667461414E-3</v>
      </c>
    </row>
    <row r="115" spans="1:26" x14ac:dyDescent="0.25">
      <c r="A115" s="163" t="s">
        <v>125</v>
      </c>
      <c r="B115" s="164" t="s">
        <v>125</v>
      </c>
      <c r="C115" s="165">
        <v>0</v>
      </c>
      <c r="D115" s="165">
        <v>0</v>
      </c>
      <c r="E115" s="165">
        <v>0</v>
      </c>
      <c r="F115" s="165">
        <v>0</v>
      </c>
      <c r="G115" s="165">
        <v>0</v>
      </c>
      <c r="H115" s="166" t="str">
        <f t="shared" si="51"/>
        <v>-</v>
      </c>
      <c r="I115" s="180" t="str">
        <f t="shared" si="35"/>
        <v>-</v>
      </c>
      <c r="J115" s="166">
        <f t="shared" si="52"/>
        <v>0</v>
      </c>
      <c r="K115" s="165">
        <v>0</v>
      </c>
      <c r="L115" s="165">
        <v>0</v>
      </c>
      <c r="M115" s="165">
        <v>0</v>
      </c>
      <c r="N115" s="165">
        <v>0</v>
      </c>
      <c r="O115" s="165">
        <v>0</v>
      </c>
      <c r="P115" s="166" t="str">
        <f t="shared" si="53"/>
        <v>-</v>
      </c>
      <c r="Q115" s="180" t="str">
        <f t="shared" si="42"/>
        <v>-</v>
      </c>
      <c r="R115" s="166">
        <f t="shared" si="54"/>
        <v>0</v>
      </c>
      <c r="S115" s="165">
        <v>1133</v>
      </c>
      <c r="T115" s="165">
        <v>3529</v>
      </c>
      <c r="U115" s="165">
        <v>5894</v>
      </c>
      <c r="V115" s="165">
        <v>6032</v>
      </c>
      <c r="W115" s="165">
        <v>5918</v>
      </c>
      <c r="X115" s="166">
        <f t="shared" si="55"/>
        <v>-1.8899204244031798E-2</v>
      </c>
      <c r="Y115" s="180">
        <f t="shared" si="43"/>
        <v>4.2233009708737868</v>
      </c>
      <c r="Z115" s="166">
        <f t="shared" si="50"/>
        <v>1.5605502223664921E-3</v>
      </c>
    </row>
    <row r="116" spans="1:26" x14ac:dyDescent="0.25">
      <c r="A116" s="163" t="s">
        <v>121</v>
      </c>
      <c r="B116" s="164" t="s">
        <v>121</v>
      </c>
      <c r="C116" s="165">
        <v>0</v>
      </c>
      <c r="D116" s="165">
        <v>0</v>
      </c>
      <c r="E116" s="165">
        <v>0</v>
      </c>
      <c r="F116" s="165">
        <v>0</v>
      </c>
      <c r="G116" s="165">
        <v>0</v>
      </c>
      <c r="H116" s="166" t="str">
        <f t="shared" si="51"/>
        <v>-</v>
      </c>
      <c r="I116" s="180" t="str">
        <f t="shared" si="35"/>
        <v>-</v>
      </c>
      <c r="J116" s="166">
        <f t="shared" si="52"/>
        <v>0</v>
      </c>
      <c r="K116" s="165">
        <v>0</v>
      </c>
      <c r="L116" s="165">
        <v>0</v>
      </c>
      <c r="M116" s="165">
        <v>0</v>
      </c>
      <c r="N116" s="165">
        <v>0</v>
      </c>
      <c r="O116" s="165">
        <v>0</v>
      </c>
      <c r="P116" s="166" t="str">
        <f t="shared" si="53"/>
        <v>-</v>
      </c>
      <c r="Q116" s="180" t="str">
        <f t="shared" si="42"/>
        <v>-</v>
      </c>
      <c r="R116" s="166">
        <f t="shared" si="54"/>
        <v>0</v>
      </c>
      <c r="S116" s="165">
        <v>2557</v>
      </c>
      <c r="T116" s="165">
        <v>4170</v>
      </c>
      <c r="U116" s="165">
        <v>4317</v>
      </c>
      <c r="V116" s="165">
        <v>4916</v>
      </c>
      <c r="W116" s="165">
        <v>4686</v>
      </c>
      <c r="X116" s="166">
        <f t="shared" si="55"/>
        <v>-4.6786004882017895E-2</v>
      </c>
      <c r="Y116" s="180">
        <f t="shared" si="43"/>
        <v>0.83261634728197098</v>
      </c>
      <c r="Z116" s="166">
        <f t="shared" si="50"/>
        <v>1.1430090447838727E-3</v>
      </c>
    </row>
    <row r="117" spans="1:26" x14ac:dyDescent="0.25">
      <c r="A117" s="163" t="s">
        <v>130</v>
      </c>
      <c r="B117" s="164" t="s">
        <v>130</v>
      </c>
      <c r="C117" s="165">
        <v>0</v>
      </c>
      <c r="D117" s="165">
        <v>0</v>
      </c>
      <c r="E117" s="165">
        <v>0</v>
      </c>
      <c r="F117" s="165">
        <v>0</v>
      </c>
      <c r="G117" s="165">
        <v>0</v>
      </c>
      <c r="H117" s="166" t="str">
        <f t="shared" si="51"/>
        <v>-</v>
      </c>
      <c r="I117" s="180" t="str">
        <f t="shared" si="35"/>
        <v>-</v>
      </c>
      <c r="J117" s="166">
        <f t="shared" si="52"/>
        <v>0</v>
      </c>
      <c r="K117" s="165">
        <v>0</v>
      </c>
      <c r="L117" s="165">
        <v>0</v>
      </c>
      <c r="M117" s="165">
        <v>0</v>
      </c>
      <c r="N117" s="165">
        <v>0</v>
      </c>
      <c r="O117" s="165">
        <v>0</v>
      </c>
      <c r="P117" s="166" t="str">
        <f t="shared" si="53"/>
        <v>-</v>
      </c>
      <c r="Q117" s="180" t="str">
        <f t="shared" si="42"/>
        <v>-</v>
      </c>
      <c r="R117" s="166">
        <f t="shared" si="54"/>
        <v>0</v>
      </c>
      <c r="S117" s="165">
        <v>226</v>
      </c>
      <c r="T117" s="165">
        <v>308</v>
      </c>
      <c r="U117" s="165">
        <v>1123</v>
      </c>
      <c r="V117" s="165">
        <v>1300</v>
      </c>
      <c r="W117" s="165">
        <v>1069</v>
      </c>
      <c r="X117" s="166">
        <f t="shared" si="55"/>
        <v>-0.1776923076923077</v>
      </c>
      <c r="Y117" s="180">
        <f t="shared" si="43"/>
        <v>3.7300884955752212</v>
      </c>
      <c r="Z117" s="166">
        <f t="shared" si="50"/>
        <v>2.9733591783467434E-4</v>
      </c>
    </row>
    <row r="118" spans="1:26" x14ac:dyDescent="0.25">
      <c r="A118" s="163" t="s">
        <v>133</v>
      </c>
      <c r="B118" s="164" t="s">
        <v>133</v>
      </c>
      <c r="C118" s="165">
        <v>0</v>
      </c>
      <c r="D118" s="165">
        <v>0</v>
      </c>
      <c r="E118" s="165">
        <v>0</v>
      </c>
      <c r="F118" s="165">
        <v>0</v>
      </c>
      <c r="G118" s="165">
        <v>0</v>
      </c>
      <c r="H118" s="166" t="str">
        <f t="shared" si="51"/>
        <v>-</v>
      </c>
      <c r="I118" s="180" t="str">
        <f t="shared" si="35"/>
        <v>-</v>
      </c>
      <c r="J118" s="166">
        <f t="shared" si="52"/>
        <v>0</v>
      </c>
      <c r="K118" s="165">
        <v>0</v>
      </c>
      <c r="L118" s="165">
        <v>0</v>
      </c>
      <c r="M118" s="165">
        <v>0</v>
      </c>
      <c r="N118" s="165">
        <v>0</v>
      </c>
      <c r="O118" s="165">
        <v>0</v>
      </c>
      <c r="P118" s="166" t="str">
        <f t="shared" si="53"/>
        <v>-</v>
      </c>
      <c r="Q118" s="180" t="str">
        <f t="shared" si="42"/>
        <v>-</v>
      </c>
      <c r="R118" s="166">
        <f t="shared" si="54"/>
        <v>0</v>
      </c>
      <c r="S118" s="165">
        <v>549</v>
      </c>
      <c r="T118" s="165">
        <v>470</v>
      </c>
      <c r="U118" s="165">
        <v>840</v>
      </c>
      <c r="V118" s="165">
        <v>770</v>
      </c>
      <c r="W118" s="165">
        <v>1368</v>
      </c>
      <c r="X118" s="166">
        <f t="shared" si="55"/>
        <v>0.77662337662337655</v>
      </c>
      <c r="Y118" s="180">
        <f t="shared" si="43"/>
        <v>1.4918032786885247</v>
      </c>
      <c r="Z118" s="166">
        <f t="shared" si="50"/>
        <v>2.2240620746315801E-4</v>
      </c>
    </row>
    <row r="119" spans="1:26" x14ac:dyDescent="0.25">
      <c r="A119" s="168" t="s">
        <v>147</v>
      </c>
      <c r="B119" s="169" t="s">
        <v>147</v>
      </c>
      <c r="C119" s="170">
        <f>C111-SUM(C112:C118)</f>
        <v>0</v>
      </c>
      <c r="D119" s="170">
        <f>D111-SUM(D112:D118)</f>
        <v>0</v>
      </c>
      <c r="E119" s="170">
        <f>E111-SUM(E112:E118)</f>
        <v>0</v>
      </c>
      <c r="F119" s="170">
        <f>F111-SUM(F112:F118)</f>
        <v>0</v>
      </c>
      <c r="G119" s="170">
        <f>G111-SUM(G112:G118)</f>
        <v>0</v>
      </c>
      <c r="H119" s="171" t="str">
        <f t="shared" si="51"/>
        <v>-</v>
      </c>
      <c r="I119" s="181" t="str">
        <f t="shared" si="35"/>
        <v>-</v>
      </c>
      <c r="J119" s="171">
        <f t="shared" si="52"/>
        <v>0</v>
      </c>
      <c r="K119" s="170">
        <f>K111-SUM(K112:K118)</f>
        <v>0</v>
      </c>
      <c r="L119" s="170">
        <f>L111-SUM(L112:L118)</f>
        <v>0</v>
      </c>
      <c r="M119" s="170">
        <f>M111-SUM(M112:M118)</f>
        <v>0</v>
      </c>
      <c r="N119" s="170">
        <f>N111-SUM(N112:N118)</f>
        <v>0</v>
      </c>
      <c r="O119" s="170">
        <f>O111-SUM(O112:O118)</f>
        <v>0</v>
      </c>
      <c r="P119" s="171" t="str">
        <f t="shared" si="53"/>
        <v>-</v>
      </c>
      <c r="Q119" s="181" t="str">
        <f t="shared" si="42"/>
        <v>-</v>
      </c>
      <c r="R119" s="171">
        <f t="shared" si="54"/>
        <v>0</v>
      </c>
      <c r="S119" s="170">
        <f>S111-SUM(S112:S118)</f>
        <v>5801</v>
      </c>
      <c r="T119" s="170">
        <f>T111-SUM(T112:T118)</f>
        <v>11698</v>
      </c>
      <c r="U119" s="170">
        <f>U111-SUM(U112:U118)</f>
        <v>24207</v>
      </c>
      <c r="V119" s="170">
        <f>V111-SUM(V112:V118)</f>
        <v>26320</v>
      </c>
      <c r="W119" s="170">
        <f>W111-SUM(W112:W118)</f>
        <v>28586</v>
      </c>
      <c r="X119" s="171">
        <f t="shared" si="55"/>
        <v>8.6094224924012197E-2</v>
      </c>
      <c r="Y119" s="181">
        <f t="shared" si="43"/>
        <v>3.9277710739527665</v>
      </c>
      <c r="Z119" s="171">
        <f t="shared" si="50"/>
        <v>6.4092703143579354E-3</v>
      </c>
    </row>
    <row r="120" spans="1:26" x14ac:dyDescent="0.25">
      <c r="A120" s="1"/>
      <c r="B120" s="156" t="s">
        <v>53</v>
      </c>
      <c r="C120" s="154"/>
      <c r="D120" s="154"/>
      <c r="E120" s="154"/>
      <c r="F120" s="154"/>
      <c r="G120" s="154"/>
      <c r="H120" s="154"/>
      <c r="I120" s="154"/>
      <c r="J120" s="154"/>
      <c r="K120" s="154"/>
      <c r="L120" s="154"/>
      <c r="M120" s="154"/>
      <c r="N120" s="154"/>
      <c r="O120" s="154"/>
      <c r="P120" s="154"/>
      <c r="Q120" s="154"/>
      <c r="R120" s="154"/>
      <c r="S120" s="154"/>
      <c r="T120" s="154"/>
      <c r="U120" s="154"/>
      <c r="V120" s="154"/>
      <c r="W120" s="154"/>
      <c r="X120" s="154"/>
      <c r="Y120" s="154"/>
      <c r="Z120" s="154"/>
    </row>
    <row r="121" spans="1:26" x14ac:dyDescent="0.25">
      <c r="A121" s="1" t="s">
        <v>0</v>
      </c>
      <c r="B121" s="157" t="s">
        <v>70</v>
      </c>
      <c r="C121" s="177">
        <f>C122+C125</f>
        <v>48728</v>
      </c>
      <c r="D121" s="177">
        <f>D122+D125</f>
        <v>61314</v>
      </c>
      <c r="E121" s="177">
        <f>E122+E125</f>
        <v>93434</v>
      </c>
      <c r="F121" s="177">
        <f>F122+F125</f>
        <v>93472</v>
      </c>
      <c r="G121" s="177">
        <f>G122+G125</f>
        <v>99644</v>
      </c>
      <c r="H121" s="178">
        <f>IFERROR(G121/F121-1,"-")</f>
        <v>6.6030469017459792E-2</v>
      </c>
      <c r="I121" s="178">
        <f t="shared" si="35"/>
        <v>1.0449023148908223</v>
      </c>
      <c r="J121" s="178">
        <f>G121/G$9</f>
        <v>0.13131613974512724</v>
      </c>
      <c r="K121" s="177">
        <f>K122+K125</f>
        <v>54788</v>
      </c>
      <c r="L121" s="177">
        <f>L122+L125</f>
        <v>102944</v>
      </c>
      <c r="M121" s="177">
        <f>M122+M125</f>
        <v>135697</v>
      </c>
      <c r="N121" s="177">
        <f>N122+N125</f>
        <v>145637</v>
      </c>
      <c r="O121" s="177">
        <f>O122+O125</f>
        <v>151227</v>
      </c>
      <c r="P121" s="178">
        <f>IFERROR(O121/N121-1,"-")</f>
        <v>3.8383103194929769E-2</v>
      </c>
      <c r="Q121" s="178">
        <f t="shared" si="42"/>
        <v>1.7602212163247426</v>
      </c>
      <c r="R121" s="178">
        <f>O121/O$9</f>
        <v>4.2952088001976807E-2</v>
      </c>
      <c r="S121" s="177">
        <f>S122+S125</f>
        <v>103516</v>
      </c>
      <c r="T121" s="177">
        <f>T122+T125</f>
        <v>164258</v>
      </c>
      <c r="U121" s="177">
        <f>U122+U125</f>
        <v>229131</v>
      </c>
      <c r="V121" s="177">
        <f>V122+V125</f>
        <v>239109</v>
      </c>
      <c r="W121" s="177">
        <f>W122+W125</f>
        <v>250871</v>
      </c>
      <c r="X121" s="178">
        <f>IFERROR(W121/V121-1,"-")</f>
        <v>4.9190954752853289E-2</v>
      </c>
      <c r="Y121" s="178">
        <f t="shared" si="43"/>
        <v>1.4234997488310985</v>
      </c>
      <c r="Z121" s="178">
        <f t="shared" ref="Z121:Z133" si="56">U121/U$9</f>
        <v>6.066685324076293E-2</v>
      </c>
    </row>
    <row r="122" spans="1:26" x14ac:dyDescent="0.25">
      <c r="A122" s="1" t="s">
        <v>98</v>
      </c>
      <c r="B122" s="160" t="s">
        <v>99</v>
      </c>
      <c r="C122" s="161">
        <v>23736</v>
      </c>
      <c r="D122" s="161">
        <v>32824</v>
      </c>
      <c r="E122" s="161">
        <v>51574</v>
      </c>
      <c r="F122" s="161">
        <v>60712</v>
      </c>
      <c r="G122" s="161">
        <v>66829</v>
      </c>
      <c r="H122" s="162">
        <f>IFERROR(G122/F122-1,"-")</f>
        <v>0.10075438134141512</v>
      </c>
      <c r="I122" s="179">
        <f t="shared" si="35"/>
        <v>1.8155123019885404</v>
      </c>
      <c r="J122" s="162">
        <f>G122/G$9</f>
        <v>8.8070795060687129E-2</v>
      </c>
      <c r="K122" s="161">
        <v>37835</v>
      </c>
      <c r="L122" s="161">
        <v>71733</v>
      </c>
      <c r="M122" s="161">
        <v>83312</v>
      </c>
      <c r="N122" s="161">
        <v>85718</v>
      </c>
      <c r="O122" s="161">
        <v>89737</v>
      </c>
      <c r="P122" s="162">
        <f>IFERROR(O122/N122-1,"-")</f>
        <v>4.6886301593597635E-2</v>
      </c>
      <c r="Q122" s="179">
        <f t="shared" si="42"/>
        <v>1.3717985991806527</v>
      </c>
      <c r="R122" s="162">
        <f>O122/O$9</f>
        <v>2.5487456082798659E-2</v>
      </c>
      <c r="S122" s="161">
        <v>61571</v>
      </c>
      <c r="T122" s="161">
        <v>104557</v>
      </c>
      <c r="U122" s="161">
        <v>134886</v>
      </c>
      <c r="V122" s="161">
        <v>146430</v>
      </c>
      <c r="W122" s="161">
        <v>156566</v>
      </c>
      <c r="X122" s="162">
        <f>IFERROR(W122/V122-1,"-")</f>
        <v>6.9220788089872309E-2</v>
      </c>
      <c r="Y122" s="179">
        <f t="shared" si="43"/>
        <v>1.5428529664939665</v>
      </c>
      <c r="Z122" s="162">
        <f t="shared" si="56"/>
        <v>3.5713671071280394E-2</v>
      </c>
    </row>
    <row r="123" spans="1:26" x14ac:dyDescent="0.25">
      <c r="A123" s="163" t="s">
        <v>105</v>
      </c>
      <c r="B123" s="164" t="s">
        <v>105</v>
      </c>
      <c r="C123" s="165">
        <v>11647</v>
      </c>
      <c r="D123" s="165">
        <v>15693</v>
      </c>
      <c r="E123" s="165">
        <v>29334</v>
      </c>
      <c r="F123" s="165">
        <v>29429</v>
      </c>
      <c r="G123" s="165">
        <v>38467</v>
      </c>
      <c r="H123" s="166">
        <f>IFERROR(G123/F123-1,"-")</f>
        <v>0.3071120323490435</v>
      </c>
      <c r="I123" s="180">
        <f t="shared" si="35"/>
        <v>2.3027389027217309</v>
      </c>
      <c r="J123" s="166">
        <f>G123/G$9</f>
        <v>5.0693849580263836E-2</v>
      </c>
      <c r="K123" s="165">
        <v>16144</v>
      </c>
      <c r="L123" s="165">
        <v>37554</v>
      </c>
      <c r="M123" s="165">
        <v>40531</v>
      </c>
      <c r="N123" s="165">
        <v>36692</v>
      </c>
      <c r="O123" s="165">
        <v>37326</v>
      </c>
      <c r="P123" s="166">
        <f>IFERROR(O123/N123-1,"-")</f>
        <v>1.7278970892837586E-2</v>
      </c>
      <c r="Q123" s="180">
        <f t="shared" si="42"/>
        <v>1.3120664023785928</v>
      </c>
      <c r="R123" s="166">
        <f>O123/O$9</f>
        <v>1.0601477492523069E-2</v>
      </c>
      <c r="S123" s="165">
        <v>27791</v>
      </c>
      <c r="T123" s="165">
        <v>53247</v>
      </c>
      <c r="U123" s="165">
        <v>69865</v>
      </c>
      <c r="V123" s="165">
        <v>66121</v>
      </c>
      <c r="W123" s="165">
        <v>75793</v>
      </c>
      <c r="X123" s="166">
        <f>IFERROR(W123/V123-1,"-")</f>
        <v>0.14627727953297742</v>
      </c>
      <c r="Y123" s="180">
        <f t="shared" si="43"/>
        <v>1.7272498290813574</v>
      </c>
      <c r="Z123" s="166">
        <f t="shared" si="56"/>
        <v>1.8498106767158969E-2</v>
      </c>
    </row>
    <row r="124" spans="1:26" x14ac:dyDescent="0.25">
      <c r="A124" s="163" t="s">
        <v>102</v>
      </c>
      <c r="B124" s="164" t="s">
        <v>102</v>
      </c>
      <c r="C124" s="165">
        <v>12089</v>
      </c>
      <c r="D124" s="165">
        <v>17131</v>
      </c>
      <c r="E124" s="165">
        <v>22240</v>
      </c>
      <c r="F124" s="165">
        <v>31283</v>
      </c>
      <c r="G124" s="165">
        <v>28362</v>
      </c>
      <c r="H124" s="166">
        <f>IFERROR(G124/F124-1,"-")</f>
        <v>-9.337339769203723E-2</v>
      </c>
      <c r="I124" s="180">
        <f t="shared" si="35"/>
        <v>1.3460997601124989</v>
      </c>
      <c r="J124" s="166">
        <f>G124/G$9</f>
        <v>3.7376945480423293E-2</v>
      </c>
      <c r="K124" s="165">
        <v>21691</v>
      </c>
      <c r="L124" s="165">
        <v>34179</v>
      </c>
      <c r="M124" s="165">
        <v>42781</v>
      </c>
      <c r="N124" s="165">
        <v>49026</v>
      </c>
      <c r="O124" s="165">
        <v>52411</v>
      </c>
      <c r="P124" s="166">
        <f>IFERROR(O124/N124-1,"-")</f>
        <v>6.9044996532452219E-2</v>
      </c>
      <c r="Q124" s="180">
        <f t="shared" si="42"/>
        <v>1.4162555898759854</v>
      </c>
      <c r="R124" s="166">
        <f>O124/O$9</f>
        <v>1.4885978590275588E-2</v>
      </c>
      <c r="S124" s="165">
        <v>33780</v>
      </c>
      <c r="T124" s="165">
        <v>51310</v>
      </c>
      <c r="U124" s="165">
        <v>65021</v>
      </c>
      <c r="V124" s="165">
        <v>80309</v>
      </c>
      <c r="W124" s="165">
        <v>80773</v>
      </c>
      <c r="X124" s="166">
        <f>IFERROR(W124/V124-1,"-")</f>
        <v>5.7776836967213807E-3</v>
      </c>
      <c r="Y124" s="180">
        <f t="shared" si="43"/>
        <v>1.3911486086441682</v>
      </c>
      <c r="Z124" s="166">
        <f t="shared" si="56"/>
        <v>1.7215564304121425E-2</v>
      </c>
    </row>
    <row r="125" spans="1:26" x14ac:dyDescent="0.25">
      <c r="A125" s="1" t="s">
        <v>148</v>
      </c>
      <c r="B125" s="160" t="s">
        <v>109</v>
      </c>
      <c r="C125" s="161">
        <v>24992</v>
      </c>
      <c r="D125" s="161">
        <v>28490</v>
      </c>
      <c r="E125" s="161">
        <v>41860</v>
      </c>
      <c r="F125" s="161">
        <v>32760</v>
      </c>
      <c r="G125" s="161">
        <v>32815</v>
      </c>
      <c r="H125" s="162">
        <f>IFERROR(G125/F125-1,"-")</f>
        <v>1.6788766788766729E-3</v>
      </c>
      <c r="I125" s="179">
        <f t="shared" si="35"/>
        <v>0.31302016645326503</v>
      </c>
      <c r="J125" s="162">
        <f>G125/G$9</f>
        <v>4.3245344684440107E-2</v>
      </c>
      <c r="K125" s="161">
        <v>16953</v>
      </c>
      <c r="L125" s="161">
        <v>31211</v>
      </c>
      <c r="M125" s="161">
        <v>52385</v>
      </c>
      <c r="N125" s="161">
        <v>59919</v>
      </c>
      <c r="O125" s="161">
        <v>61490</v>
      </c>
      <c r="P125" s="162">
        <f>IFERROR(O125/N125-1,"-")</f>
        <v>2.6218728616966169E-2</v>
      </c>
      <c r="Q125" s="179">
        <f t="shared" si="42"/>
        <v>2.6270866513301478</v>
      </c>
      <c r="R125" s="162">
        <f>O125/O$9</f>
        <v>1.7464631919178148E-2</v>
      </c>
      <c r="S125" s="161">
        <v>41945</v>
      </c>
      <c r="T125" s="161">
        <v>59701</v>
      </c>
      <c r="U125" s="161">
        <v>94245</v>
      </c>
      <c r="V125" s="161">
        <v>92679</v>
      </c>
      <c r="W125" s="161">
        <v>94305</v>
      </c>
      <c r="X125" s="162">
        <f>IFERROR(W125/V125-1,"-")</f>
        <v>1.7544427540219454E-2</v>
      </c>
      <c r="Y125" s="179">
        <f t="shared" si="43"/>
        <v>1.2483013470020263</v>
      </c>
      <c r="Z125" s="162">
        <f t="shared" si="56"/>
        <v>2.4953182169482533E-2</v>
      </c>
    </row>
    <row r="126" spans="1:26" x14ac:dyDescent="0.25">
      <c r="A126" s="163" t="s">
        <v>112</v>
      </c>
      <c r="B126" s="164" t="s">
        <v>112</v>
      </c>
      <c r="C126" s="165">
        <v>1440</v>
      </c>
      <c r="D126" s="165">
        <v>653</v>
      </c>
      <c r="E126" s="165">
        <v>2495</v>
      </c>
      <c r="F126" s="165">
        <v>3067</v>
      </c>
      <c r="G126" s="165">
        <v>2396</v>
      </c>
      <c r="H126" s="166">
        <f t="shared" ref="H126:H133" si="57">IFERROR(G126/F126-1,"-")</f>
        <v>-0.21878056732963813</v>
      </c>
      <c r="I126" s="180">
        <f t="shared" si="35"/>
        <v>0.66388888888888897</v>
      </c>
      <c r="J126" s="166">
        <f t="shared" ref="J126:J133" si="58">G126/G$9</f>
        <v>3.1575756777058816E-3</v>
      </c>
      <c r="K126" s="165">
        <v>2501</v>
      </c>
      <c r="L126" s="165">
        <v>2683</v>
      </c>
      <c r="M126" s="165">
        <v>7422</v>
      </c>
      <c r="N126" s="165">
        <v>8579</v>
      </c>
      <c r="O126" s="165">
        <v>8260</v>
      </c>
      <c r="P126" s="166">
        <f t="shared" ref="P126:P133" si="59">IFERROR(O126/N126-1,"-")</f>
        <v>-3.7183820958153646E-2</v>
      </c>
      <c r="Q126" s="180">
        <f t="shared" si="42"/>
        <v>2.3026789284286284</v>
      </c>
      <c r="R126" s="166">
        <f t="shared" ref="R126:R133" si="60">O126/O$9</f>
        <v>2.3460377240593837E-3</v>
      </c>
      <c r="S126" s="165">
        <v>3941</v>
      </c>
      <c r="T126" s="165">
        <v>3336</v>
      </c>
      <c r="U126" s="165">
        <v>9917</v>
      </c>
      <c r="V126" s="165">
        <v>11646</v>
      </c>
      <c r="W126" s="165">
        <v>10656</v>
      </c>
      <c r="X126" s="166">
        <f t="shared" ref="X126:X133" si="61">IFERROR(W126/V126-1,"-")</f>
        <v>-8.5007727975270453E-2</v>
      </c>
      <c r="Y126" s="180">
        <f t="shared" si="43"/>
        <v>1.7038822633849278</v>
      </c>
      <c r="Z126" s="166">
        <f t="shared" si="56"/>
        <v>2.6257170945382597E-3</v>
      </c>
    </row>
    <row r="127" spans="1:26" x14ac:dyDescent="0.25">
      <c r="A127" s="163" t="s">
        <v>115</v>
      </c>
      <c r="B127" s="164" t="s">
        <v>115</v>
      </c>
      <c r="C127" s="165">
        <v>1742</v>
      </c>
      <c r="D127" s="165">
        <v>2401</v>
      </c>
      <c r="E127" s="165">
        <v>4143</v>
      </c>
      <c r="F127" s="165">
        <v>4500</v>
      </c>
      <c r="G127" s="165">
        <v>4504</v>
      </c>
      <c r="H127" s="166">
        <f t="shared" si="57"/>
        <v>8.8888888888893902E-4</v>
      </c>
      <c r="I127" s="180">
        <f t="shared" si="35"/>
        <v>1.5855338691159586</v>
      </c>
      <c r="J127" s="166">
        <f t="shared" si="58"/>
        <v>5.9356097046691534E-3</v>
      </c>
      <c r="K127" s="165">
        <v>2311</v>
      </c>
      <c r="L127" s="165">
        <v>4913</v>
      </c>
      <c r="M127" s="165">
        <v>7118</v>
      </c>
      <c r="N127" s="165">
        <v>8816</v>
      </c>
      <c r="O127" s="165">
        <v>8623</v>
      </c>
      <c r="P127" s="166">
        <f t="shared" si="59"/>
        <v>-2.1892014519056313E-2</v>
      </c>
      <c r="Q127" s="180">
        <f t="shared" si="42"/>
        <v>2.7312851579402855</v>
      </c>
      <c r="R127" s="166">
        <f t="shared" si="60"/>
        <v>2.4491384133854799E-3</v>
      </c>
      <c r="S127" s="165">
        <v>4053</v>
      </c>
      <c r="T127" s="165">
        <v>7314</v>
      </c>
      <c r="U127" s="165">
        <v>11261</v>
      </c>
      <c r="V127" s="165">
        <v>13316</v>
      </c>
      <c r="W127" s="165">
        <v>13127</v>
      </c>
      <c r="X127" s="166">
        <f t="shared" si="61"/>
        <v>-1.4193451486932962E-2</v>
      </c>
      <c r="Y127" s="180">
        <f t="shared" si="43"/>
        <v>2.2388354305452749</v>
      </c>
      <c r="Z127" s="166">
        <f t="shared" si="56"/>
        <v>2.9815670264793123E-3</v>
      </c>
    </row>
    <row r="128" spans="1:26" x14ac:dyDescent="0.25">
      <c r="A128" s="163" t="s">
        <v>118</v>
      </c>
      <c r="B128" s="164" t="s">
        <v>118</v>
      </c>
      <c r="C128" s="165">
        <v>1315</v>
      </c>
      <c r="D128" s="165">
        <v>2102</v>
      </c>
      <c r="E128" s="165">
        <v>2821</v>
      </c>
      <c r="F128" s="165">
        <v>3000</v>
      </c>
      <c r="G128" s="165">
        <v>2742</v>
      </c>
      <c r="H128" s="166">
        <f t="shared" si="57"/>
        <v>-8.5999999999999965E-2</v>
      </c>
      <c r="I128" s="180">
        <f t="shared" si="35"/>
        <v>1.0851711026615969</v>
      </c>
      <c r="J128" s="166">
        <f t="shared" si="58"/>
        <v>3.6135527997786009E-3</v>
      </c>
      <c r="K128" s="165">
        <v>1591</v>
      </c>
      <c r="L128" s="165">
        <v>5032</v>
      </c>
      <c r="M128" s="165">
        <v>5703</v>
      </c>
      <c r="N128" s="165">
        <v>5756</v>
      </c>
      <c r="O128" s="165">
        <v>5825</v>
      </c>
      <c r="P128" s="166">
        <f t="shared" si="59"/>
        <v>1.1987491313412146E-2</v>
      </c>
      <c r="Q128" s="180">
        <f t="shared" si="42"/>
        <v>2.6612193588937774</v>
      </c>
      <c r="R128" s="166">
        <f t="shared" si="60"/>
        <v>1.6544394361556792E-3</v>
      </c>
      <c r="S128" s="165">
        <v>2906</v>
      </c>
      <c r="T128" s="165">
        <v>7134</v>
      </c>
      <c r="U128" s="165">
        <v>8524</v>
      </c>
      <c r="V128" s="165">
        <v>8756</v>
      </c>
      <c r="W128" s="165">
        <v>8567</v>
      </c>
      <c r="X128" s="166">
        <f t="shared" si="61"/>
        <v>-2.1585198720877163E-2</v>
      </c>
      <c r="Y128" s="180">
        <f t="shared" si="43"/>
        <v>1.9480385409497591</v>
      </c>
      <c r="Z128" s="166">
        <f t="shared" si="56"/>
        <v>2.2568934671618559E-3</v>
      </c>
    </row>
    <row r="129" spans="1:26" x14ac:dyDescent="0.25">
      <c r="A129" s="163" t="s">
        <v>125</v>
      </c>
      <c r="B129" s="164" t="s">
        <v>125</v>
      </c>
      <c r="C129" s="165">
        <v>369</v>
      </c>
      <c r="D129" s="165">
        <v>359</v>
      </c>
      <c r="E129" s="165">
        <v>801</v>
      </c>
      <c r="F129" s="165">
        <v>649</v>
      </c>
      <c r="G129" s="165">
        <v>650</v>
      </c>
      <c r="H129" s="166">
        <f t="shared" si="57"/>
        <v>1.5408320493066618E-3</v>
      </c>
      <c r="I129" s="180">
        <f t="shared" si="35"/>
        <v>0.7615176151761518</v>
      </c>
      <c r="J129" s="166">
        <f t="shared" si="58"/>
        <v>8.5660442007880764E-4</v>
      </c>
      <c r="K129" s="165">
        <v>415</v>
      </c>
      <c r="L129" s="165">
        <v>974</v>
      </c>
      <c r="M129" s="165">
        <v>1772</v>
      </c>
      <c r="N129" s="165">
        <v>1988</v>
      </c>
      <c r="O129" s="165">
        <v>1706</v>
      </c>
      <c r="P129" s="166">
        <f t="shared" si="59"/>
        <v>-0.14185110663983902</v>
      </c>
      <c r="Q129" s="180">
        <f t="shared" si="42"/>
        <v>3.1108433734939762</v>
      </c>
      <c r="R129" s="166">
        <f t="shared" si="60"/>
        <v>4.8454483743889937E-4</v>
      </c>
      <c r="S129" s="165">
        <v>784</v>
      </c>
      <c r="T129" s="165">
        <v>1333</v>
      </c>
      <c r="U129" s="165">
        <v>2573</v>
      </c>
      <c r="V129" s="165">
        <v>2637</v>
      </c>
      <c r="W129" s="165">
        <v>2356</v>
      </c>
      <c r="X129" s="166">
        <f t="shared" si="61"/>
        <v>-0.10656048540007579</v>
      </c>
      <c r="Y129" s="180">
        <f t="shared" si="43"/>
        <v>2.0051020408163267</v>
      </c>
      <c r="Z129" s="166">
        <f t="shared" si="56"/>
        <v>6.812513950032209E-4</v>
      </c>
    </row>
    <row r="130" spans="1:26" x14ac:dyDescent="0.25">
      <c r="A130" s="163" t="s">
        <v>121</v>
      </c>
      <c r="B130" s="164" t="s">
        <v>121</v>
      </c>
      <c r="C130" s="165">
        <v>323</v>
      </c>
      <c r="D130" s="165">
        <v>312</v>
      </c>
      <c r="E130" s="165">
        <v>635</v>
      </c>
      <c r="F130" s="165">
        <v>526</v>
      </c>
      <c r="G130" s="165">
        <v>594</v>
      </c>
      <c r="H130" s="166">
        <f t="shared" si="57"/>
        <v>0.12927756653992395</v>
      </c>
      <c r="I130" s="180">
        <f t="shared" si="35"/>
        <v>0.83900928792569651</v>
      </c>
      <c r="J130" s="166">
        <f t="shared" si="58"/>
        <v>7.8280465465663338E-4</v>
      </c>
      <c r="K130" s="165">
        <v>489</v>
      </c>
      <c r="L130" s="165">
        <v>1045</v>
      </c>
      <c r="M130" s="165">
        <v>1201</v>
      </c>
      <c r="N130" s="165">
        <v>1408</v>
      </c>
      <c r="O130" s="165">
        <v>1497</v>
      </c>
      <c r="P130" s="166">
        <f t="shared" si="59"/>
        <v>6.3210227272727293E-2</v>
      </c>
      <c r="Q130" s="180">
        <f t="shared" si="42"/>
        <v>2.0613496932515338</v>
      </c>
      <c r="R130" s="166">
        <f t="shared" si="60"/>
        <v>4.2518383449357113E-4</v>
      </c>
      <c r="S130" s="165">
        <v>812</v>
      </c>
      <c r="T130" s="165">
        <v>1357</v>
      </c>
      <c r="U130" s="165">
        <v>1836</v>
      </c>
      <c r="V130" s="165">
        <v>1934</v>
      </c>
      <c r="W130" s="165">
        <v>2091</v>
      </c>
      <c r="X130" s="166">
        <f t="shared" si="61"/>
        <v>8.1178903826266913E-2</v>
      </c>
      <c r="Y130" s="180">
        <f t="shared" si="43"/>
        <v>1.5751231527093594</v>
      </c>
      <c r="Z130" s="166">
        <f t="shared" si="56"/>
        <v>4.8611642488375966E-4</v>
      </c>
    </row>
    <row r="131" spans="1:26" x14ac:dyDescent="0.25">
      <c r="A131" s="163" t="s">
        <v>130</v>
      </c>
      <c r="B131" s="164" t="s">
        <v>130</v>
      </c>
      <c r="C131" s="165">
        <v>186</v>
      </c>
      <c r="D131" s="165">
        <v>123</v>
      </c>
      <c r="E131" s="165">
        <v>250</v>
      </c>
      <c r="F131" s="165">
        <v>203</v>
      </c>
      <c r="G131" s="165">
        <v>235</v>
      </c>
      <c r="H131" s="166">
        <f t="shared" si="57"/>
        <v>0.1576354679802956</v>
      </c>
      <c r="I131" s="180">
        <f t="shared" si="35"/>
        <v>0.26344086021505375</v>
      </c>
      <c r="J131" s="166">
        <f t="shared" si="58"/>
        <v>3.0969544418233812E-4</v>
      </c>
      <c r="K131" s="165">
        <v>492</v>
      </c>
      <c r="L131" s="165">
        <v>432</v>
      </c>
      <c r="M131" s="165">
        <v>825</v>
      </c>
      <c r="N131" s="165">
        <v>1138</v>
      </c>
      <c r="O131" s="165">
        <v>1099</v>
      </c>
      <c r="P131" s="166">
        <f t="shared" si="59"/>
        <v>-3.4270650263620417E-2</v>
      </c>
      <c r="Q131" s="180">
        <f t="shared" si="42"/>
        <v>1.2337398373983741</v>
      </c>
      <c r="R131" s="166">
        <f t="shared" si="60"/>
        <v>3.1214230735366374E-4</v>
      </c>
      <c r="S131" s="165">
        <v>678</v>
      </c>
      <c r="T131" s="165">
        <v>555</v>
      </c>
      <c r="U131" s="165">
        <v>1075</v>
      </c>
      <c r="V131" s="165">
        <v>1341</v>
      </c>
      <c r="W131" s="165">
        <v>1334</v>
      </c>
      <c r="X131" s="166">
        <f t="shared" si="61"/>
        <v>-5.2199850857569396E-3</v>
      </c>
      <c r="Y131" s="180">
        <f t="shared" si="43"/>
        <v>0.96755162241887915</v>
      </c>
      <c r="Z131" s="166">
        <f t="shared" si="56"/>
        <v>2.8462699169392246E-4</v>
      </c>
    </row>
    <row r="132" spans="1:26" x14ac:dyDescent="0.25">
      <c r="A132" s="163" t="s">
        <v>133</v>
      </c>
      <c r="B132" s="164" t="s">
        <v>133</v>
      </c>
      <c r="C132" s="165">
        <v>210</v>
      </c>
      <c r="D132" s="165">
        <v>177</v>
      </c>
      <c r="E132" s="165">
        <v>253</v>
      </c>
      <c r="F132" s="165">
        <v>358</v>
      </c>
      <c r="G132" s="165">
        <v>378</v>
      </c>
      <c r="H132" s="166">
        <f t="shared" si="57"/>
        <v>5.5865921787709549E-2</v>
      </c>
      <c r="I132" s="180">
        <f t="shared" si="35"/>
        <v>0.8</v>
      </c>
      <c r="J132" s="166">
        <f t="shared" si="58"/>
        <v>4.9814841659967578E-4</v>
      </c>
      <c r="K132" s="165">
        <v>887</v>
      </c>
      <c r="L132" s="165">
        <v>742</v>
      </c>
      <c r="M132" s="165">
        <v>1632</v>
      </c>
      <c r="N132" s="165">
        <v>2097</v>
      </c>
      <c r="O132" s="165">
        <v>2115</v>
      </c>
      <c r="P132" s="166">
        <f t="shared" si="59"/>
        <v>8.5836909871244149E-3</v>
      </c>
      <c r="Q132" s="180">
        <f t="shared" si="42"/>
        <v>1.3844419391206313</v>
      </c>
      <c r="R132" s="166">
        <f t="shared" si="60"/>
        <v>6.0071062789171872E-4</v>
      </c>
      <c r="S132" s="165">
        <v>1097</v>
      </c>
      <c r="T132" s="165">
        <v>919</v>
      </c>
      <c r="U132" s="165">
        <v>1885</v>
      </c>
      <c r="V132" s="165">
        <v>2455</v>
      </c>
      <c r="W132" s="165">
        <v>2493</v>
      </c>
      <c r="X132" s="166">
        <f t="shared" si="61"/>
        <v>1.5478615071283119E-2</v>
      </c>
      <c r="Y132" s="180">
        <f t="shared" si="43"/>
        <v>1.2725615314494076</v>
      </c>
      <c r="Z132" s="166">
        <f t="shared" si="56"/>
        <v>4.9909012031911057E-4</v>
      </c>
    </row>
    <row r="133" spans="1:26" x14ac:dyDescent="0.25">
      <c r="A133" s="168" t="s">
        <v>147</v>
      </c>
      <c r="B133" s="169" t="s">
        <v>147</v>
      </c>
      <c r="C133" s="170">
        <f>C125-SUM(C126:C132)</f>
        <v>19407</v>
      </c>
      <c r="D133" s="170">
        <f>D125-SUM(D126:D132)</f>
        <v>22363</v>
      </c>
      <c r="E133" s="170">
        <f>E125-SUM(E126:E132)</f>
        <v>30462</v>
      </c>
      <c r="F133" s="170">
        <f>F125-SUM(F126:F132)</f>
        <v>20457</v>
      </c>
      <c r="G133" s="170">
        <f>G125-SUM(G126:G132)</f>
        <v>21316</v>
      </c>
      <c r="H133" s="171">
        <f t="shared" si="57"/>
        <v>4.199051669355236E-2</v>
      </c>
      <c r="I133" s="181">
        <f t="shared" si="35"/>
        <v>9.8366568763848194E-2</v>
      </c>
      <c r="J133" s="171">
        <f t="shared" si="58"/>
        <v>2.809135356676902E-2</v>
      </c>
      <c r="K133" s="170">
        <f>K125-SUM(K126:K132)</f>
        <v>8267</v>
      </c>
      <c r="L133" s="170">
        <f>L125-SUM(L126:L132)</f>
        <v>15390</v>
      </c>
      <c r="M133" s="170">
        <f>M125-SUM(M126:M132)</f>
        <v>26712</v>
      </c>
      <c r="N133" s="170">
        <f>N125-SUM(N126:N132)</f>
        <v>30137</v>
      </c>
      <c r="O133" s="170">
        <f>O125-SUM(O126:O132)</f>
        <v>32365</v>
      </c>
      <c r="P133" s="171">
        <f t="shared" si="59"/>
        <v>7.3929057304974011E-2</v>
      </c>
      <c r="Q133" s="181">
        <f t="shared" si="42"/>
        <v>2.9149631063263577</v>
      </c>
      <c r="R133" s="171">
        <f t="shared" si="60"/>
        <v>9.1924347383997521E-3</v>
      </c>
      <c r="S133" s="170">
        <f>S125-SUM(S126:S132)</f>
        <v>27674</v>
      </c>
      <c r="T133" s="170">
        <f>T125-SUM(T126:T132)</f>
        <v>37753</v>
      </c>
      <c r="U133" s="170">
        <f>U125-SUM(U126:U132)</f>
        <v>57174</v>
      </c>
      <c r="V133" s="170">
        <f>V125-SUM(V126:V132)</f>
        <v>50594</v>
      </c>
      <c r="W133" s="170">
        <f>W125-SUM(W126:W132)</f>
        <v>53681</v>
      </c>
      <c r="X133" s="171">
        <f t="shared" si="61"/>
        <v>6.1015140135193935E-2</v>
      </c>
      <c r="Y133" s="181">
        <f t="shared" si="43"/>
        <v>0.93976295439762958</v>
      </c>
      <c r="Z133" s="171">
        <f t="shared" si="56"/>
        <v>1.513791964940309E-2</v>
      </c>
    </row>
    <row r="134" spans="1:26" x14ac:dyDescent="0.25">
      <c r="A134" s="1"/>
      <c r="B134" s="156" t="s">
        <v>54</v>
      </c>
      <c r="C134" s="154"/>
      <c r="D134" s="154"/>
      <c r="E134" s="154"/>
      <c r="F134" s="154"/>
      <c r="G134" s="154"/>
      <c r="H134" s="154"/>
      <c r="I134" s="154"/>
      <c r="J134" s="154"/>
      <c r="K134" s="154"/>
      <c r="L134" s="154"/>
      <c r="M134" s="154"/>
      <c r="N134" s="154"/>
      <c r="O134" s="154"/>
      <c r="P134" s="154"/>
      <c r="Q134" s="154"/>
      <c r="R134" s="154"/>
      <c r="S134" s="154"/>
      <c r="T134" s="154"/>
      <c r="U134" s="154"/>
      <c r="V134" s="154"/>
      <c r="W134" s="154"/>
      <c r="X134" s="154"/>
      <c r="Y134" s="154"/>
      <c r="Z134" s="154"/>
    </row>
    <row r="135" spans="1:26" x14ac:dyDescent="0.25">
      <c r="A135" s="1" t="s">
        <v>0</v>
      </c>
      <c r="B135" s="157" t="s">
        <v>70</v>
      </c>
      <c r="C135" s="177">
        <f>C136+C139</f>
        <v>0</v>
      </c>
      <c r="D135" s="177">
        <f>D136+D139</f>
        <v>29237</v>
      </c>
      <c r="E135" s="177">
        <f>E136+E139</f>
        <v>47385</v>
      </c>
      <c r="F135" s="177">
        <f>F136+F139</f>
        <v>49008</v>
      </c>
      <c r="G135" s="177">
        <f>G136+G139</f>
        <v>52595</v>
      </c>
      <c r="H135" s="178">
        <f>IFERROR(G135/F135-1,"-")</f>
        <v>7.3192131896833157E-2</v>
      </c>
      <c r="I135" s="178" t="str">
        <f t="shared" si="35"/>
        <v>-</v>
      </c>
      <c r="J135" s="178">
        <f>G135/G$9</f>
        <v>6.9312476113915208E-2</v>
      </c>
      <c r="K135" s="177">
        <f>K136+K139</f>
        <v>0</v>
      </c>
      <c r="L135" s="177">
        <f>L136+L139</f>
        <v>87353</v>
      </c>
      <c r="M135" s="177">
        <f>M136+M139</f>
        <v>163913</v>
      </c>
      <c r="N135" s="177">
        <f>N136+N139</f>
        <v>180038</v>
      </c>
      <c r="O135" s="177">
        <f>O136+O139</f>
        <v>183335</v>
      </c>
      <c r="P135" s="178">
        <f>IFERROR(O135/N135-1,"-")</f>
        <v>1.8312800630977843E-2</v>
      </c>
      <c r="Q135" s="178" t="str">
        <f t="shared" si="42"/>
        <v>-</v>
      </c>
      <c r="R135" s="178">
        <f>O135/O$9</f>
        <v>5.2071528588429436E-2</v>
      </c>
      <c r="S135" s="177">
        <f>S136+S139</f>
        <v>77095</v>
      </c>
      <c r="T135" s="177">
        <f>T136+T139</f>
        <v>116590</v>
      </c>
      <c r="U135" s="177">
        <f>U136+U139</f>
        <v>211298</v>
      </c>
      <c r="V135" s="177">
        <f>V136+V139</f>
        <v>229046</v>
      </c>
      <c r="W135" s="177">
        <f>W136+W139</f>
        <v>235930</v>
      </c>
      <c r="X135" s="178">
        <f>IFERROR(W135/V135-1,"-")</f>
        <v>3.0055098102564459E-2</v>
      </c>
      <c r="Y135" s="178">
        <f t="shared" si="43"/>
        <v>2.0602503404890071</v>
      </c>
      <c r="Z135" s="178">
        <f t="shared" ref="Z135:Z147" si="62">U135/U$9</f>
        <v>5.5945222410179005E-2</v>
      </c>
    </row>
    <row r="136" spans="1:26" x14ac:dyDescent="0.25">
      <c r="A136" s="1" t="s">
        <v>98</v>
      </c>
      <c r="B136" s="160" t="s">
        <v>99</v>
      </c>
      <c r="C136" s="161">
        <v>0</v>
      </c>
      <c r="D136" s="161">
        <v>9339</v>
      </c>
      <c r="E136" s="161">
        <v>5486</v>
      </c>
      <c r="F136" s="161">
        <v>7999</v>
      </c>
      <c r="G136" s="161">
        <v>6701</v>
      </c>
      <c r="H136" s="162">
        <f>IFERROR(G136/F136-1,"-")</f>
        <v>-0.16227028378547315</v>
      </c>
      <c r="I136" s="179" t="str">
        <f t="shared" si="35"/>
        <v>-</v>
      </c>
      <c r="J136" s="162">
        <f>G136/G$9</f>
        <v>8.8309326445355236E-3</v>
      </c>
      <c r="K136" s="161">
        <v>0</v>
      </c>
      <c r="L136" s="161">
        <v>28431</v>
      </c>
      <c r="M136" s="161">
        <v>15843</v>
      </c>
      <c r="N136" s="161">
        <v>15164</v>
      </c>
      <c r="O136" s="161">
        <v>14762</v>
      </c>
      <c r="P136" s="162">
        <f>IFERROR(O136/N136-1,"-")</f>
        <v>-2.6510155631759402E-2</v>
      </c>
      <c r="Q136" s="179" t="str">
        <f t="shared" si="42"/>
        <v>-</v>
      </c>
      <c r="R136" s="162">
        <f>O136/O$9</f>
        <v>4.1927613659279205E-3</v>
      </c>
      <c r="S136" s="161">
        <v>22432</v>
      </c>
      <c r="T136" s="161">
        <v>37770</v>
      </c>
      <c r="U136" s="161">
        <v>21329</v>
      </c>
      <c r="V136" s="161">
        <v>23163</v>
      </c>
      <c r="W136" s="161">
        <v>21463</v>
      </c>
      <c r="X136" s="162">
        <f>IFERROR(W136/V136-1,"-")</f>
        <v>-7.3392911108232983E-2</v>
      </c>
      <c r="Y136" s="179">
        <f t="shared" si="43"/>
        <v>-4.3197218259629078E-2</v>
      </c>
      <c r="Z136" s="162">
        <f t="shared" si="62"/>
        <v>5.6472642845020208E-3</v>
      </c>
    </row>
    <row r="137" spans="1:26" x14ac:dyDescent="0.25">
      <c r="A137" s="163" t="s">
        <v>105</v>
      </c>
      <c r="B137" s="164" t="s">
        <v>105</v>
      </c>
      <c r="C137" s="165">
        <v>0</v>
      </c>
      <c r="D137" s="165">
        <v>9339</v>
      </c>
      <c r="E137" s="165">
        <v>5415</v>
      </c>
      <c r="F137" s="165">
        <v>7999</v>
      </c>
      <c r="G137" s="165">
        <v>6701</v>
      </c>
      <c r="H137" s="166">
        <f>IFERROR(G137/F137-1,"-")</f>
        <v>-0.16227028378547315</v>
      </c>
      <c r="I137" s="180" t="str">
        <f t="shared" si="35"/>
        <v>-</v>
      </c>
      <c r="J137" s="166">
        <f>G137/G$9</f>
        <v>8.8309326445355236E-3</v>
      </c>
      <c r="K137" s="165">
        <v>0</v>
      </c>
      <c r="L137" s="165">
        <v>20185</v>
      </c>
      <c r="M137" s="165">
        <v>9264</v>
      </c>
      <c r="N137" s="165">
        <v>6639</v>
      </c>
      <c r="O137" s="165">
        <v>6321</v>
      </c>
      <c r="P137" s="166">
        <f>IFERROR(O137/N137-1,"-")</f>
        <v>-4.7898779936737412E-2</v>
      </c>
      <c r="Q137" s="180" t="str">
        <f t="shared" si="42"/>
        <v>-</v>
      </c>
      <c r="R137" s="166">
        <f>O137/O$9</f>
        <v>1.7953153091742572E-3</v>
      </c>
      <c r="S137" s="165">
        <v>16366</v>
      </c>
      <c r="T137" s="165">
        <v>29524</v>
      </c>
      <c r="U137" s="165">
        <v>14679</v>
      </c>
      <c r="V137" s="165">
        <v>14638</v>
      </c>
      <c r="W137" s="165">
        <v>13022</v>
      </c>
      <c r="X137" s="166">
        <f>IFERROR(W137/V137-1,"-")</f>
        <v>-0.11039759529990434</v>
      </c>
      <c r="Y137" s="180">
        <f t="shared" si="43"/>
        <v>-0.20432604179396308</v>
      </c>
      <c r="Z137" s="166">
        <f t="shared" si="62"/>
        <v>3.8865484754186863E-3</v>
      </c>
    </row>
    <row r="138" spans="1:26" x14ac:dyDescent="0.25">
      <c r="A138" s="163" t="s">
        <v>102</v>
      </c>
      <c r="B138" s="164" t="s">
        <v>102</v>
      </c>
      <c r="C138" s="165">
        <v>0</v>
      </c>
      <c r="D138" s="165">
        <v>0</v>
      </c>
      <c r="E138" s="165">
        <v>71</v>
      </c>
      <c r="F138" s="165">
        <v>0</v>
      </c>
      <c r="G138" s="165">
        <v>0</v>
      </c>
      <c r="H138" s="166" t="str">
        <f>IFERROR(G138/F138-1,"-")</f>
        <v>-</v>
      </c>
      <c r="I138" s="180" t="str">
        <f t="shared" ref="I138:I161" si="63">IFERROR(G138/C138-1,"-")</f>
        <v>-</v>
      </c>
      <c r="J138" s="166">
        <f>G138/G$9</f>
        <v>0</v>
      </c>
      <c r="K138" s="165">
        <v>0</v>
      </c>
      <c r="L138" s="165">
        <v>8246</v>
      </c>
      <c r="M138" s="165">
        <v>6579</v>
      </c>
      <c r="N138" s="165">
        <v>8525</v>
      </c>
      <c r="O138" s="165">
        <v>8441</v>
      </c>
      <c r="P138" s="166">
        <f>IFERROR(O138/N138-1,"-")</f>
        <v>-9.8533724340176265E-3</v>
      </c>
      <c r="Q138" s="180" t="str">
        <f t="shared" si="42"/>
        <v>-</v>
      </c>
      <c r="R138" s="166">
        <f>O138/O$9</f>
        <v>2.3974460567536631E-3</v>
      </c>
      <c r="S138" s="165">
        <v>6066</v>
      </c>
      <c r="T138" s="165">
        <v>8246</v>
      </c>
      <c r="U138" s="165">
        <v>6650</v>
      </c>
      <c r="V138" s="165">
        <v>8525</v>
      </c>
      <c r="W138" s="165">
        <v>8441</v>
      </c>
      <c r="X138" s="166">
        <f>IFERROR(W138/V138-1,"-")</f>
        <v>-9.8533724340176265E-3</v>
      </c>
      <c r="Y138" s="180">
        <f t="shared" si="43"/>
        <v>0.39152654137817344</v>
      </c>
      <c r="Z138" s="166">
        <f t="shared" si="62"/>
        <v>1.7607158090833343E-3</v>
      </c>
    </row>
    <row r="139" spans="1:26" x14ac:dyDescent="0.25">
      <c r="A139" s="1" t="s">
        <v>148</v>
      </c>
      <c r="B139" s="160" t="s">
        <v>109</v>
      </c>
      <c r="C139" s="161">
        <v>0</v>
      </c>
      <c r="D139" s="161">
        <v>19898</v>
      </c>
      <c r="E139" s="161">
        <v>41899</v>
      </c>
      <c r="F139" s="161">
        <v>41009</v>
      </c>
      <c r="G139" s="161">
        <v>45894</v>
      </c>
      <c r="H139" s="162">
        <f>IFERROR(G139/F139-1,"-")</f>
        <v>0.11912019312833766</v>
      </c>
      <c r="I139" s="179" t="str">
        <f t="shared" si="63"/>
        <v>-</v>
      </c>
      <c r="J139" s="162">
        <f>G139/G$9</f>
        <v>6.0481543469379687E-2</v>
      </c>
      <c r="K139" s="161">
        <v>0</v>
      </c>
      <c r="L139" s="161">
        <v>58922</v>
      </c>
      <c r="M139" s="161">
        <v>148070</v>
      </c>
      <c r="N139" s="161">
        <v>164874</v>
      </c>
      <c r="O139" s="161">
        <v>168573</v>
      </c>
      <c r="P139" s="162">
        <f>IFERROR(O139/N139-1,"-")</f>
        <v>2.2435314239965143E-2</v>
      </c>
      <c r="Q139" s="179" t="str">
        <f t="shared" si="42"/>
        <v>-</v>
      </c>
      <c r="R139" s="162">
        <f>O139/O$9</f>
        <v>4.7878767222501513E-2</v>
      </c>
      <c r="S139" s="161">
        <v>54663</v>
      </c>
      <c r="T139" s="161">
        <v>78820</v>
      </c>
      <c r="U139" s="161">
        <v>189969</v>
      </c>
      <c r="V139" s="161">
        <v>205883</v>
      </c>
      <c r="W139" s="161">
        <v>214467</v>
      </c>
      <c r="X139" s="162">
        <f>IFERROR(W139/V139-1,"-")</f>
        <v>4.1693583248738397E-2</v>
      </c>
      <c r="Y139" s="179">
        <f t="shared" si="43"/>
        <v>2.9234399868283849</v>
      </c>
      <c r="Z139" s="162">
        <f t="shared" si="62"/>
        <v>5.0297958125676979E-2</v>
      </c>
    </row>
    <row r="140" spans="1:26" x14ac:dyDescent="0.25">
      <c r="A140" s="163" t="s">
        <v>112</v>
      </c>
      <c r="B140" s="164" t="s">
        <v>112</v>
      </c>
      <c r="C140" s="165">
        <v>0</v>
      </c>
      <c r="D140" s="165">
        <v>8616</v>
      </c>
      <c r="E140" s="165">
        <v>22074</v>
      </c>
      <c r="F140" s="165">
        <v>20929</v>
      </c>
      <c r="G140" s="165">
        <v>26456</v>
      </c>
      <c r="H140" s="166">
        <f t="shared" ref="H140:H147" si="64">IFERROR(G140/F140-1,"-")</f>
        <v>0.26408332935161738</v>
      </c>
      <c r="I140" s="180" t="str">
        <f t="shared" si="63"/>
        <v>-</v>
      </c>
      <c r="J140" s="166">
        <f t="shared" ref="J140:J147" si="65">G140/G$9</f>
        <v>3.4865117750161434E-2</v>
      </c>
      <c r="K140" s="165">
        <v>0</v>
      </c>
      <c r="L140" s="165">
        <v>13586</v>
      </c>
      <c r="M140" s="165">
        <v>60071</v>
      </c>
      <c r="N140" s="165">
        <v>68669</v>
      </c>
      <c r="O140" s="165">
        <v>70810</v>
      </c>
      <c r="P140" s="166">
        <f t="shared" ref="P140:P147" si="66">IFERROR(O140/N140-1,"-")</f>
        <v>3.1178552185120001E-2</v>
      </c>
      <c r="Q140" s="180" t="str">
        <f t="shared" si="42"/>
        <v>-</v>
      </c>
      <c r="R140" s="166">
        <f t="shared" ref="R140:R147" si="67">O140/O$9</f>
        <v>2.0111735017027236E-2</v>
      </c>
      <c r="S140" s="165">
        <v>18862</v>
      </c>
      <c r="T140" s="165">
        <v>22202</v>
      </c>
      <c r="U140" s="165">
        <v>82145</v>
      </c>
      <c r="V140" s="165">
        <v>89598</v>
      </c>
      <c r="W140" s="165">
        <v>97266</v>
      </c>
      <c r="X140" s="166">
        <f t="shared" ref="X140:X147" si="68">IFERROR(W140/V140-1,"-")</f>
        <v>8.5582267461327355E-2</v>
      </c>
      <c r="Y140" s="180">
        <f t="shared" si="43"/>
        <v>4.1567172092036904</v>
      </c>
      <c r="Z140" s="166">
        <f t="shared" si="62"/>
        <v>2.1749473704834661E-2</v>
      </c>
    </row>
    <row r="141" spans="1:26" x14ac:dyDescent="0.25">
      <c r="A141" s="163" t="s">
        <v>115</v>
      </c>
      <c r="B141" s="164" t="s">
        <v>115</v>
      </c>
      <c r="C141" s="165">
        <v>0</v>
      </c>
      <c r="D141" s="165">
        <v>1411</v>
      </c>
      <c r="E141" s="165">
        <v>1553</v>
      </c>
      <c r="F141" s="165">
        <v>1880</v>
      </c>
      <c r="G141" s="165">
        <v>1664</v>
      </c>
      <c r="H141" s="166">
        <f t="shared" si="64"/>
        <v>-0.11489361702127665</v>
      </c>
      <c r="I141" s="180" t="str">
        <f t="shared" si="63"/>
        <v>-</v>
      </c>
      <c r="J141" s="166">
        <f t="shared" si="65"/>
        <v>2.1929073154017473E-3</v>
      </c>
      <c r="K141" s="165">
        <v>0</v>
      </c>
      <c r="L141" s="165">
        <v>6291</v>
      </c>
      <c r="M141" s="165">
        <v>11965</v>
      </c>
      <c r="N141" s="165">
        <v>16181</v>
      </c>
      <c r="O141" s="165">
        <v>16944</v>
      </c>
      <c r="P141" s="166">
        <f t="shared" si="66"/>
        <v>4.7154069587788117E-2</v>
      </c>
      <c r="Q141" s="180" t="str">
        <f t="shared" si="42"/>
        <v>-</v>
      </c>
      <c r="R141" s="166">
        <f t="shared" si="67"/>
        <v>4.8125015976346486E-3</v>
      </c>
      <c r="S141" s="165">
        <v>5188</v>
      </c>
      <c r="T141" s="165">
        <v>7702</v>
      </c>
      <c r="U141" s="165">
        <v>13518</v>
      </c>
      <c r="V141" s="165">
        <v>18061</v>
      </c>
      <c r="W141" s="165">
        <v>18608</v>
      </c>
      <c r="X141" s="166">
        <f t="shared" si="68"/>
        <v>3.0286252145506953E-2</v>
      </c>
      <c r="Y141" s="180">
        <f t="shared" si="43"/>
        <v>2.5867386276021587</v>
      </c>
      <c r="Z141" s="166">
        <f t="shared" si="62"/>
        <v>3.5791513243892499E-3</v>
      </c>
    </row>
    <row r="142" spans="1:26" x14ac:dyDescent="0.25">
      <c r="A142" s="163" t="s">
        <v>118</v>
      </c>
      <c r="B142" s="164" t="s">
        <v>118</v>
      </c>
      <c r="C142" s="165">
        <v>0</v>
      </c>
      <c r="D142" s="165">
        <v>2188</v>
      </c>
      <c r="E142" s="165">
        <v>5813</v>
      </c>
      <c r="F142" s="165">
        <v>5043</v>
      </c>
      <c r="G142" s="165">
        <v>5027</v>
      </c>
      <c r="H142" s="166">
        <f t="shared" si="64"/>
        <v>-3.1727146539758388E-3</v>
      </c>
      <c r="I142" s="180" t="str">
        <f t="shared" si="63"/>
        <v>-</v>
      </c>
      <c r="J142" s="166">
        <f t="shared" si="65"/>
        <v>6.6248467995941012E-3</v>
      </c>
      <c r="K142" s="165">
        <v>0</v>
      </c>
      <c r="L142" s="165">
        <v>10850</v>
      </c>
      <c r="M142" s="165">
        <v>17158</v>
      </c>
      <c r="N142" s="165">
        <v>15976</v>
      </c>
      <c r="O142" s="165">
        <v>15484</v>
      </c>
      <c r="P142" s="166">
        <f t="shared" si="66"/>
        <v>-3.0796194291437207E-2</v>
      </c>
      <c r="Q142" s="180" t="str">
        <f t="shared" si="42"/>
        <v>-</v>
      </c>
      <c r="R142" s="166">
        <f t="shared" si="67"/>
        <v>4.3978266488299634E-3</v>
      </c>
      <c r="S142" s="165">
        <v>5864</v>
      </c>
      <c r="T142" s="165">
        <v>13038</v>
      </c>
      <c r="U142" s="165">
        <v>22971</v>
      </c>
      <c r="V142" s="165">
        <v>21019</v>
      </c>
      <c r="W142" s="165">
        <v>20511</v>
      </c>
      <c r="X142" s="166">
        <f t="shared" si="68"/>
        <v>-2.4168609353442116E-2</v>
      </c>
      <c r="Y142" s="180">
        <f t="shared" si="43"/>
        <v>2.4977830832196455</v>
      </c>
      <c r="Z142" s="166">
        <f t="shared" si="62"/>
        <v>6.0820154662335748E-3</v>
      </c>
    </row>
    <row r="143" spans="1:26" x14ac:dyDescent="0.25">
      <c r="A143" s="163" t="s">
        <v>125</v>
      </c>
      <c r="B143" s="164" t="s">
        <v>125</v>
      </c>
      <c r="C143" s="165">
        <v>0</v>
      </c>
      <c r="D143" s="165">
        <v>2549</v>
      </c>
      <c r="E143" s="165">
        <v>4370</v>
      </c>
      <c r="F143" s="165">
        <v>3569</v>
      </c>
      <c r="G143" s="165">
        <v>2063</v>
      </c>
      <c r="H143" s="166">
        <f t="shared" si="64"/>
        <v>-0.42196693751751191</v>
      </c>
      <c r="I143" s="180" t="str">
        <f t="shared" si="63"/>
        <v>-</v>
      </c>
      <c r="J143" s="166">
        <f t="shared" si="65"/>
        <v>2.7187306440347387E-3</v>
      </c>
      <c r="K143" s="165">
        <v>0</v>
      </c>
      <c r="L143" s="165">
        <v>1210</v>
      </c>
      <c r="M143" s="165">
        <v>3896</v>
      </c>
      <c r="N143" s="165">
        <v>3738</v>
      </c>
      <c r="O143" s="165">
        <v>3046</v>
      </c>
      <c r="P143" s="166">
        <f t="shared" si="66"/>
        <v>-0.18512573568753343</v>
      </c>
      <c r="Q143" s="180" t="str">
        <f t="shared" si="42"/>
        <v>-</v>
      </c>
      <c r="R143" s="166">
        <f t="shared" si="67"/>
        <v>8.6513691373908989E-4</v>
      </c>
      <c r="S143" s="165">
        <v>782</v>
      </c>
      <c r="T143" s="165">
        <v>3759</v>
      </c>
      <c r="U143" s="165">
        <v>8266</v>
      </c>
      <c r="V143" s="165">
        <v>7307</v>
      </c>
      <c r="W143" s="165">
        <v>5109</v>
      </c>
      <c r="X143" s="166">
        <f t="shared" si="68"/>
        <v>-0.30080744491583411</v>
      </c>
      <c r="Y143" s="180">
        <f t="shared" si="43"/>
        <v>5.5332480818414318</v>
      </c>
      <c r="Z143" s="166">
        <f t="shared" si="62"/>
        <v>2.1885829891553146E-3</v>
      </c>
    </row>
    <row r="144" spans="1:26" x14ac:dyDescent="0.25">
      <c r="A144" s="163" t="s">
        <v>121</v>
      </c>
      <c r="B144" s="164" t="s">
        <v>121</v>
      </c>
      <c r="C144" s="165">
        <v>0</v>
      </c>
      <c r="D144" s="165">
        <v>902</v>
      </c>
      <c r="E144" s="165">
        <v>435</v>
      </c>
      <c r="F144" s="165">
        <v>1205</v>
      </c>
      <c r="G144" s="165">
        <v>791</v>
      </c>
      <c r="H144" s="166">
        <f t="shared" si="64"/>
        <v>-0.34356846473029046</v>
      </c>
      <c r="I144" s="180" t="str">
        <f t="shared" si="63"/>
        <v>-</v>
      </c>
      <c r="J144" s="166">
        <f t="shared" si="65"/>
        <v>1.0424216865882105E-3</v>
      </c>
      <c r="K144" s="165">
        <v>0</v>
      </c>
      <c r="L144" s="165">
        <v>1918</v>
      </c>
      <c r="M144" s="165">
        <v>3253</v>
      </c>
      <c r="N144" s="165">
        <v>3495</v>
      </c>
      <c r="O144" s="165">
        <v>3931</v>
      </c>
      <c r="P144" s="166">
        <f t="shared" si="66"/>
        <v>0.12474964234620889</v>
      </c>
      <c r="Q144" s="180" t="str">
        <f t="shared" si="42"/>
        <v>-</v>
      </c>
      <c r="R144" s="166">
        <f t="shared" si="67"/>
        <v>1.1164980984597382E-3</v>
      </c>
      <c r="S144" s="165">
        <v>1676</v>
      </c>
      <c r="T144" s="165">
        <v>2820</v>
      </c>
      <c r="U144" s="165">
        <v>3688</v>
      </c>
      <c r="V144" s="165">
        <v>4700</v>
      </c>
      <c r="W144" s="165">
        <v>4722</v>
      </c>
      <c r="X144" s="166">
        <f t="shared" si="68"/>
        <v>4.6808510638298717E-3</v>
      </c>
      <c r="Y144" s="180">
        <f t="shared" si="43"/>
        <v>1.8174224343675416</v>
      </c>
      <c r="Z144" s="166">
        <f t="shared" si="62"/>
        <v>9.7646915848110323E-4</v>
      </c>
    </row>
    <row r="145" spans="1:26" x14ac:dyDescent="0.25">
      <c r="A145" s="163" t="s">
        <v>130</v>
      </c>
      <c r="B145" s="164" t="s">
        <v>130</v>
      </c>
      <c r="C145" s="165">
        <v>0</v>
      </c>
      <c r="D145" s="165">
        <v>93</v>
      </c>
      <c r="E145" s="165">
        <v>79</v>
      </c>
      <c r="F145" s="165">
        <v>139</v>
      </c>
      <c r="G145" s="165">
        <v>6</v>
      </c>
      <c r="H145" s="166">
        <f t="shared" si="64"/>
        <v>-0.95683453237410077</v>
      </c>
      <c r="I145" s="180" t="str">
        <f t="shared" si="63"/>
        <v>-</v>
      </c>
      <c r="J145" s="166">
        <f t="shared" si="65"/>
        <v>7.9071177238043773E-6</v>
      </c>
      <c r="K145" s="165">
        <v>0</v>
      </c>
      <c r="L145" s="165">
        <v>1104</v>
      </c>
      <c r="M145" s="165">
        <v>2826</v>
      </c>
      <c r="N145" s="165">
        <v>3106</v>
      </c>
      <c r="O145" s="165">
        <v>3058</v>
      </c>
      <c r="P145" s="166">
        <f t="shared" si="66"/>
        <v>-1.5453960077269846E-2</v>
      </c>
      <c r="Q145" s="180" t="str">
        <f t="shared" si="42"/>
        <v>-</v>
      </c>
      <c r="R145" s="166">
        <f t="shared" si="67"/>
        <v>8.6854520098953944E-4</v>
      </c>
      <c r="S145" s="165">
        <v>1597</v>
      </c>
      <c r="T145" s="165">
        <v>1197</v>
      </c>
      <c r="U145" s="165">
        <v>2905</v>
      </c>
      <c r="V145" s="165">
        <v>3245</v>
      </c>
      <c r="W145" s="165">
        <v>3064</v>
      </c>
      <c r="X145" s="166">
        <f t="shared" si="68"/>
        <v>-5.5778120184899804E-2</v>
      </c>
      <c r="Y145" s="180">
        <f t="shared" si="43"/>
        <v>0.9185973700688792</v>
      </c>
      <c r="Z145" s="166">
        <f t="shared" si="62"/>
        <v>7.6915480081008814E-4</v>
      </c>
    </row>
    <row r="146" spans="1:26" x14ac:dyDescent="0.25">
      <c r="A146" s="163" t="s">
        <v>133</v>
      </c>
      <c r="B146" s="164" t="s">
        <v>133</v>
      </c>
      <c r="C146" s="165">
        <v>0</v>
      </c>
      <c r="D146" s="165">
        <v>75</v>
      </c>
      <c r="E146" s="165">
        <v>49</v>
      </c>
      <c r="F146" s="165">
        <v>93</v>
      </c>
      <c r="G146" s="165">
        <v>54</v>
      </c>
      <c r="H146" s="166">
        <f t="shared" si="64"/>
        <v>-0.41935483870967738</v>
      </c>
      <c r="I146" s="180" t="str">
        <f t="shared" si="63"/>
        <v>-</v>
      </c>
      <c r="J146" s="166">
        <f t="shared" si="65"/>
        <v>7.1164059514239401E-5</v>
      </c>
      <c r="K146" s="165">
        <v>0</v>
      </c>
      <c r="L146" s="165">
        <v>715</v>
      </c>
      <c r="M146" s="165">
        <v>1637</v>
      </c>
      <c r="N146" s="165">
        <v>2212</v>
      </c>
      <c r="O146" s="165">
        <v>1992</v>
      </c>
      <c r="P146" s="166">
        <f t="shared" si="66"/>
        <v>-9.9457504520795714E-2</v>
      </c>
      <c r="Q146" s="180" t="str">
        <f t="shared" si="42"/>
        <v>-</v>
      </c>
      <c r="R146" s="166">
        <f t="shared" si="67"/>
        <v>5.6577568357461165E-4</v>
      </c>
      <c r="S146" s="165">
        <v>3384</v>
      </c>
      <c r="T146" s="165">
        <v>790</v>
      </c>
      <c r="U146" s="165">
        <v>1686</v>
      </c>
      <c r="V146" s="165">
        <v>2305</v>
      </c>
      <c r="W146" s="165">
        <v>2046</v>
      </c>
      <c r="X146" s="166">
        <f t="shared" si="68"/>
        <v>-0.11236442516268985</v>
      </c>
      <c r="Y146" s="180">
        <f t="shared" si="43"/>
        <v>-0.39539007092198586</v>
      </c>
      <c r="Z146" s="166">
        <f t="shared" si="62"/>
        <v>4.4640103069391E-4</v>
      </c>
    </row>
    <row r="147" spans="1:26" x14ac:dyDescent="0.25">
      <c r="A147" s="168" t="s">
        <v>147</v>
      </c>
      <c r="B147" s="169" t="s">
        <v>147</v>
      </c>
      <c r="C147" s="170">
        <f>C139-SUM(C140:C146)</f>
        <v>0</v>
      </c>
      <c r="D147" s="170">
        <f>D139-SUM(D140:D146)</f>
        <v>4064</v>
      </c>
      <c r="E147" s="170">
        <f>E139-SUM(E140:E146)</f>
        <v>7526</v>
      </c>
      <c r="F147" s="170">
        <f>F139-SUM(F140:F146)</f>
        <v>8151</v>
      </c>
      <c r="G147" s="170">
        <f>G139-SUM(G140:G146)</f>
        <v>9833</v>
      </c>
      <c r="H147" s="171">
        <f t="shared" si="64"/>
        <v>0.20635504846031161</v>
      </c>
      <c r="I147" s="181" t="str">
        <f t="shared" si="63"/>
        <v>-</v>
      </c>
      <c r="J147" s="171">
        <f t="shared" si="65"/>
        <v>1.2958448096361408E-2</v>
      </c>
      <c r="K147" s="170">
        <f>K139-SUM(K140:K146)</f>
        <v>0</v>
      </c>
      <c r="L147" s="170">
        <f>L139-SUM(L140:L146)</f>
        <v>23248</v>
      </c>
      <c r="M147" s="170">
        <f>M139-SUM(M140:M146)</f>
        <v>47264</v>
      </c>
      <c r="N147" s="170">
        <f>N139-SUM(N140:N146)</f>
        <v>51497</v>
      </c>
      <c r="O147" s="170">
        <f>O139-SUM(O140:O146)</f>
        <v>53308</v>
      </c>
      <c r="P147" s="171">
        <f t="shared" si="66"/>
        <v>3.5167097112453138E-2</v>
      </c>
      <c r="Q147" s="181" t="str">
        <f t="shared" si="42"/>
        <v>-</v>
      </c>
      <c r="R147" s="171">
        <f t="shared" si="67"/>
        <v>1.5140748062246686E-2</v>
      </c>
      <c r="S147" s="170">
        <f>S139-SUM(S140:S146)</f>
        <v>17310</v>
      </c>
      <c r="T147" s="170">
        <f>T139-SUM(T140:T146)</f>
        <v>27312</v>
      </c>
      <c r="U147" s="170">
        <f>U139-SUM(U140:U146)</f>
        <v>54790</v>
      </c>
      <c r="V147" s="170">
        <f>V139-SUM(V140:V146)</f>
        <v>59648</v>
      </c>
      <c r="W147" s="170">
        <f>W139-SUM(W140:W146)</f>
        <v>63141</v>
      </c>
      <c r="X147" s="171">
        <f t="shared" si="68"/>
        <v>5.8560219957081605E-2</v>
      </c>
      <c r="Y147" s="181">
        <f t="shared" si="43"/>
        <v>2.6476603119584055</v>
      </c>
      <c r="Z147" s="171">
        <f t="shared" si="62"/>
        <v>1.4506709651079081E-2</v>
      </c>
    </row>
    <row r="148" spans="1:26" x14ac:dyDescent="0.25">
      <c r="A148" s="1"/>
      <c r="B148" s="156" t="s">
        <v>55</v>
      </c>
      <c r="C148" s="154"/>
      <c r="D148" s="154"/>
      <c r="E148" s="154"/>
      <c r="F148" s="154"/>
      <c r="G148" s="154"/>
      <c r="H148" s="154"/>
      <c r="I148" s="154"/>
      <c r="J148" s="154"/>
      <c r="K148" s="154"/>
      <c r="L148" s="154"/>
      <c r="M148" s="154"/>
      <c r="N148" s="154"/>
      <c r="O148" s="154"/>
      <c r="P148" s="154"/>
      <c r="Q148" s="154"/>
      <c r="R148" s="154"/>
      <c r="S148" s="154"/>
      <c r="T148" s="154"/>
      <c r="U148" s="154"/>
      <c r="V148" s="154"/>
      <c r="W148" s="154"/>
      <c r="X148" s="154"/>
      <c r="Y148" s="154"/>
      <c r="Z148" s="154"/>
    </row>
    <row r="149" spans="1:26" x14ac:dyDescent="0.25">
      <c r="A149" s="1" t="s">
        <v>0</v>
      </c>
      <c r="B149" s="157" t="s">
        <v>70</v>
      </c>
      <c r="C149" s="177">
        <f>C150+C153</f>
        <v>11846</v>
      </c>
      <c r="D149" s="177">
        <f>D150+D153</f>
        <v>15189</v>
      </c>
      <c r="E149" s="177">
        <f>E150+E153</f>
        <v>30370</v>
      </c>
      <c r="F149" s="177">
        <f>F150+F153</f>
        <v>30695</v>
      </c>
      <c r="G149" s="177">
        <f>G150+G153</f>
        <v>35796</v>
      </c>
      <c r="H149" s="178">
        <f>IFERROR(G149/F149-1,"-")</f>
        <v>0.16618341749470589</v>
      </c>
      <c r="I149" s="178">
        <f t="shared" si="63"/>
        <v>2.0217795036299173</v>
      </c>
      <c r="J149" s="178">
        <f>G149/G$9</f>
        <v>4.717386434021692E-2</v>
      </c>
      <c r="K149" s="177">
        <f>K150+K153</f>
        <v>30203</v>
      </c>
      <c r="L149" s="177">
        <f>L150+L153</f>
        <v>55599</v>
      </c>
      <c r="M149" s="177">
        <f>M150+M153</f>
        <v>77698</v>
      </c>
      <c r="N149" s="177">
        <f>N150+N153</f>
        <v>83047</v>
      </c>
      <c r="O149" s="177">
        <f>O150+O153</f>
        <v>81300</v>
      </c>
      <c r="P149" s="178">
        <f>IFERROR(O149/N149-1,"-")</f>
        <v>-2.1036280660348905E-2</v>
      </c>
      <c r="Q149" s="178">
        <f t="shared" si="42"/>
        <v>1.6917855842134886</v>
      </c>
      <c r="R149" s="178">
        <f>O149/O$9</f>
        <v>2.3091146121795143E-2</v>
      </c>
      <c r="S149" s="177">
        <f>S150+S153</f>
        <v>42049</v>
      </c>
      <c r="T149" s="177">
        <f>T150+T153</f>
        <v>70788</v>
      </c>
      <c r="U149" s="177">
        <f>U150+U153</f>
        <v>108068</v>
      </c>
      <c r="V149" s="177">
        <f>V150+V153</f>
        <v>113742</v>
      </c>
      <c r="W149" s="177">
        <f>W150+W153</f>
        <v>117096</v>
      </c>
      <c r="X149" s="178">
        <f>IFERROR(W149/V149-1,"-")</f>
        <v>2.948778815213382E-2</v>
      </c>
      <c r="Y149" s="178">
        <f t="shared" si="43"/>
        <v>1.7847511236890297</v>
      </c>
      <c r="Z149" s="178">
        <f t="shared" ref="Z149:Z161" si="69">U149/U$9</f>
        <v>2.8613088128724477E-2</v>
      </c>
    </row>
    <row r="150" spans="1:26" x14ac:dyDescent="0.25">
      <c r="A150" s="1" t="s">
        <v>98</v>
      </c>
      <c r="B150" s="160" t="s">
        <v>99</v>
      </c>
      <c r="C150" s="161">
        <v>8198</v>
      </c>
      <c r="D150" s="161">
        <v>8139</v>
      </c>
      <c r="E150" s="161">
        <v>18008</v>
      </c>
      <c r="F150" s="161">
        <v>17683</v>
      </c>
      <c r="G150" s="161">
        <v>18511</v>
      </c>
      <c r="H150" s="162">
        <f>IFERROR(G150/F150-1,"-")</f>
        <v>4.6824633829101403E-2</v>
      </c>
      <c r="I150" s="179">
        <f t="shared" si="63"/>
        <v>1.2579897535984386</v>
      </c>
      <c r="J150" s="162">
        <f>G150/G$9</f>
        <v>2.4394776030890474E-2</v>
      </c>
      <c r="K150" s="161">
        <v>13645</v>
      </c>
      <c r="L150" s="161">
        <v>31999</v>
      </c>
      <c r="M150" s="161">
        <v>38624</v>
      </c>
      <c r="N150" s="161">
        <v>38986</v>
      </c>
      <c r="O150" s="161">
        <v>34388</v>
      </c>
      <c r="P150" s="162">
        <f>IFERROR(O150/N150-1,"-")</f>
        <v>-0.11793977325193661</v>
      </c>
      <c r="Q150" s="179">
        <f t="shared" si="42"/>
        <v>1.5201905459875413</v>
      </c>
      <c r="R150" s="162">
        <f>O150/O$9</f>
        <v>9.7670151640380249E-3</v>
      </c>
      <c r="S150" s="161">
        <v>21843</v>
      </c>
      <c r="T150" s="161">
        <v>40138</v>
      </c>
      <c r="U150" s="161">
        <v>56632</v>
      </c>
      <c r="V150" s="161">
        <v>56669</v>
      </c>
      <c r="W150" s="161">
        <v>52899</v>
      </c>
      <c r="X150" s="162">
        <f>IFERROR(W150/V150-1,"-")</f>
        <v>-6.6526672431135192E-2</v>
      </c>
      <c r="Y150" s="179">
        <f t="shared" si="43"/>
        <v>1.4217827221535502</v>
      </c>
      <c r="Z150" s="162">
        <f t="shared" si="69"/>
        <v>1.4994414691730434E-2</v>
      </c>
    </row>
    <row r="151" spans="1:26" x14ac:dyDescent="0.25">
      <c r="A151" s="163" t="s">
        <v>105</v>
      </c>
      <c r="B151" s="164" t="s">
        <v>105</v>
      </c>
      <c r="C151" s="165">
        <v>3239</v>
      </c>
      <c r="D151" s="165">
        <v>4159</v>
      </c>
      <c r="E151" s="165">
        <v>6621</v>
      </c>
      <c r="F151" s="165">
        <v>5819</v>
      </c>
      <c r="G151" s="165">
        <v>5597</v>
      </c>
      <c r="H151" s="166">
        <f>IFERROR(G151/F151-1,"-")</f>
        <v>-3.8150885031792425E-2</v>
      </c>
      <c r="I151" s="180">
        <f t="shared" si="63"/>
        <v>0.72800246989811668</v>
      </c>
      <c r="J151" s="166">
        <f>G151/G$9</f>
        <v>7.3760229833555171E-3</v>
      </c>
      <c r="K151" s="165">
        <v>11144</v>
      </c>
      <c r="L151" s="165">
        <v>28141</v>
      </c>
      <c r="M151" s="165">
        <v>34603</v>
      </c>
      <c r="N151" s="165">
        <v>36698</v>
      </c>
      <c r="O151" s="165">
        <v>31174</v>
      </c>
      <c r="P151" s="166">
        <f>IFERROR(O151/N151-1,"-")</f>
        <v>-0.15052591421875849</v>
      </c>
      <c r="Q151" s="180">
        <f t="shared" ref="Q151:Q161" si="70">IFERROR(O151/K151-1,"-")</f>
        <v>1.7973797559224693</v>
      </c>
      <c r="R151" s="166">
        <f>O151/O$9</f>
        <v>8.8541622287926433E-3</v>
      </c>
      <c r="S151" s="165">
        <v>14383</v>
      </c>
      <c r="T151" s="165">
        <v>32300</v>
      </c>
      <c r="U151" s="165">
        <v>41224</v>
      </c>
      <c r="V151" s="165">
        <v>42517</v>
      </c>
      <c r="W151" s="165">
        <v>36771</v>
      </c>
      <c r="X151" s="166">
        <f>IFERROR(W151/V151-1,"-")</f>
        <v>-0.1351459416233507</v>
      </c>
      <c r="Y151" s="180">
        <f t="shared" ref="Y151:Y161" si="71">IFERROR(W151/S151-1,"-")</f>
        <v>1.5565598275742194</v>
      </c>
      <c r="Z151" s="166">
        <f t="shared" si="69"/>
        <v>1.0914849400549079E-2</v>
      </c>
    </row>
    <row r="152" spans="1:26" x14ac:dyDescent="0.25">
      <c r="A152" s="163" t="s">
        <v>102</v>
      </c>
      <c r="B152" s="164" t="s">
        <v>102</v>
      </c>
      <c r="C152" s="165">
        <v>4959</v>
      </c>
      <c r="D152" s="165">
        <v>3980</v>
      </c>
      <c r="E152" s="165">
        <v>11387</v>
      </c>
      <c r="F152" s="165">
        <v>11864</v>
      </c>
      <c r="G152" s="165">
        <v>12914</v>
      </c>
      <c r="H152" s="166">
        <f>IFERROR(G152/F152-1,"-")</f>
        <v>8.8503034389750601E-2</v>
      </c>
      <c r="I152" s="180">
        <f t="shared" si="63"/>
        <v>1.6041540633192177</v>
      </c>
      <c r="J152" s="166">
        <f>G152/G$9</f>
        <v>1.7018753047534956E-2</v>
      </c>
      <c r="K152" s="165">
        <v>2501</v>
      </c>
      <c r="L152" s="165">
        <v>3858</v>
      </c>
      <c r="M152" s="165">
        <v>4021</v>
      </c>
      <c r="N152" s="165">
        <v>2288</v>
      </c>
      <c r="O152" s="165">
        <v>3214</v>
      </c>
      <c r="P152" s="166">
        <f>IFERROR(O152/N152-1,"-")</f>
        <v>0.4047202797202798</v>
      </c>
      <c r="Q152" s="180">
        <f t="shared" si="70"/>
        <v>0.28508596561375454</v>
      </c>
      <c r="R152" s="166">
        <f>O152/O$9</f>
        <v>9.1285293524538246E-4</v>
      </c>
      <c r="S152" s="165">
        <v>7460</v>
      </c>
      <c r="T152" s="165">
        <v>7838</v>
      </c>
      <c r="U152" s="165">
        <v>15408</v>
      </c>
      <c r="V152" s="165">
        <v>14152</v>
      </c>
      <c r="W152" s="165">
        <v>16128</v>
      </c>
      <c r="X152" s="166">
        <f>IFERROR(W152/V152-1,"-")</f>
        <v>0.13962690785754672</v>
      </c>
      <c r="Y152" s="180">
        <f t="shared" si="71"/>
        <v>1.1619302949061661</v>
      </c>
      <c r="Z152" s="166">
        <f t="shared" si="69"/>
        <v>4.0795652911813553E-3</v>
      </c>
    </row>
    <row r="153" spans="1:26" x14ac:dyDescent="0.25">
      <c r="A153" s="1" t="s">
        <v>148</v>
      </c>
      <c r="B153" s="160" t="s">
        <v>109</v>
      </c>
      <c r="C153" s="161">
        <v>3648</v>
      </c>
      <c r="D153" s="161">
        <v>7050</v>
      </c>
      <c r="E153" s="161">
        <v>12362</v>
      </c>
      <c r="F153" s="161">
        <v>13012</v>
      </c>
      <c r="G153" s="161">
        <v>17285</v>
      </c>
      <c r="H153" s="162">
        <f>IFERROR(G153/F153-1,"-")</f>
        <v>0.3283891792191822</v>
      </c>
      <c r="I153" s="179">
        <f t="shared" si="63"/>
        <v>3.7382127192982457</v>
      </c>
      <c r="J153" s="162">
        <f>G153/G$9</f>
        <v>2.2779088309326446E-2</v>
      </c>
      <c r="K153" s="161">
        <v>16558</v>
      </c>
      <c r="L153" s="161">
        <v>23600</v>
      </c>
      <c r="M153" s="161">
        <v>39074</v>
      </c>
      <c r="N153" s="161">
        <v>44061</v>
      </c>
      <c r="O153" s="161">
        <v>46912</v>
      </c>
      <c r="P153" s="162">
        <f>IFERROR(O153/N153-1,"-")</f>
        <v>6.4705748848187694E-2</v>
      </c>
      <c r="Q153" s="179">
        <f t="shared" si="70"/>
        <v>1.8331924145428191</v>
      </c>
      <c r="R153" s="162">
        <f>O153/O$9</f>
        <v>1.332413095775712E-2</v>
      </c>
      <c r="S153" s="161">
        <v>20206</v>
      </c>
      <c r="T153" s="161">
        <v>30650</v>
      </c>
      <c r="U153" s="161">
        <v>51436</v>
      </c>
      <c r="V153" s="161">
        <v>57073</v>
      </c>
      <c r="W153" s="161">
        <v>64197</v>
      </c>
      <c r="X153" s="162">
        <f>IFERROR(W153/V153-1,"-")</f>
        <v>0.12482259562314924</v>
      </c>
      <c r="Y153" s="179">
        <f t="shared" si="71"/>
        <v>2.1771256062555677</v>
      </c>
      <c r="Z153" s="162">
        <f t="shared" si="69"/>
        <v>1.3618673436994043E-2</v>
      </c>
    </row>
    <row r="154" spans="1:26" x14ac:dyDescent="0.25">
      <c r="A154" s="163" t="s">
        <v>112</v>
      </c>
      <c r="B154" s="164" t="s">
        <v>112</v>
      </c>
      <c r="C154" s="165">
        <v>434</v>
      </c>
      <c r="D154" s="165">
        <v>401</v>
      </c>
      <c r="E154" s="165">
        <v>974</v>
      </c>
      <c r="F154" s="165">
        <v>983</v>
      </c>
      <c r="G154" s="165">
        <v>1429</v>
      </c>
      <c r="H154" s="166">
        <f t="shared" ref="H154:H161" si="72">IFERROR(G154/F154-1,"-")</f>
        <v>0.45371312309257372</v>
      </c>
      <c r="I154" s="180">
        <f t="shared" si="63"/>
        <v>2.2926267281105992</v>
      </c>
      <c r="J154" s="166">
        <f t="shared" ref="J154:J161" si="73">G154/G$9</f>
        <v>1.8832118712194094E-3</v>
      </c>
      <c r="K154" s="165">
        <v>5335</v>
      </c>
      <c r="L154" s="165">
        <v>5197</v>
      </c>
      <c r="M154" s="165">
        <v>18197</v>
      </c>
      <c r="N154" s="165">
        <v>17767</v>
      </c>
      <c r="O154" s="165">
        <v>18362</v>
      </c>
      <c r="P154" s="166">
        <f t="shared" ref="P154:P161" si="74">IFERROR(O154/N154-1,"-")</f>
        <v>3.3489052738222558E-2</v>
      </c>
      <c r="Q154" s="180">
        <f t="shared" si="70"/>
        <v>2.4417994376757264</v>
      </c>
      <c r="R154" s="166">
        <f t="shared" ref="R154:R161" si="75">O154/O$9</f>
        <v>5.2152475410627607E-3</v>
      </c>
      <c r="S154" s="165">
        <v>5769</v>
      </c>
      <c r="T154" s="165">
        <v>5598</v>
      </c>
      <c r="U154" s="165">
        <v>19171</v>
      </c>
      <c r="V154" s="165">
        <v>18750</v>
      </c>
      <c r="W154" s="165">
        <v>19791</v>
      </c>
      <c r="X154" s="166">
        <f t="shared" ref="X154:X161" si="76">IFERROR(W154/V154-1,"-")</f>
        <v>5.5520000000000014E-2</v>
      </c>
      <c r="Y154" s="180">
        <f t="shared" si="71"/>
        <v>2.4305772230889238</v>
      </c>
      <c r="Z154" s="166">
        <f t="shared" si="69"/>
        <v>5.0758921467573834E-3</v>
      </c>
    </row>
    <row r="155" spans="1:26" x14ac:dyDescent="0.25">
      <c r="A155" s="163" t="s">
        <v>115</v>
      </c>
      <c r="B155" s="164" t="s">
        <v>115</v>
      </c>
      <c r="C155" s="165">
        <v>651</v>
      </c>
      <c r="D155" s="165">
        <v>1400</v>
      </c>
      <c r="E155" s="165">
        <v>2438</v>
      </c>
      <c r="F155" s="165">
        <v>2568</v>
      </c>
      <c r="G155" s="165">
        <v>2962</v>
      </c>
      <c r="H155" s="166">
        <f t="shared" si="72"/>
        <v>0.15342679127725867</v>
      </c>
      <c r="I155" s="180">
        <f t="shared" si="63"/>
        <v>3.5499231950844852</v>
      </c>
      <c r="J155" s="166">
        <f t="shared" si="73"/>
        <v>3.903480449651428E-3</v>
      </c>
      <c r="K155" s="165">
        <v>3972</v>
      </c>
      <c r="L155" s="165">
        <v>6636</v>
      </c>
      <c r="M155" s="165">
        <v>7498</v>
      </c>
      <c r="N155" s="165">
        <v>7764</v>
      </c>
      <c r="O155" s="165">
        <v>7140</v>
      </c>
      <c r="P155" s="166">
        <f t="shared" si="74"/>
        <v>-8.037094281298296E-2</v>
      </c>
      <c r="Q155" s="180">
        <f t="shared" si="70"/>
        <v>0.797583081570997</v>
      </c>
      <c r="R155" s="166">
        <f t="shared" si="75"/>
        <v>2.0279309140174332E-3</v>
      </c>
      <c r="S155" s="165">
        <v>4623</v>
      </c>
      <c r="T155" s="165">
        <v>8036</v>
      </c>
      <c r="U155" s="165">
        <v>9936</v>
      </c>
      <c r="V155" s="165">
        <v>10332</v>
      </c>
      <c r="W155" s="165">
        <v>10102</v>
      </c>
      <c r="X155" s="166">
        <f t="shared" si="76"/>
        <v>-2.2260936895083239E-2</v>
      </c>
      <c r="Y155" s="180">
        <f t="shared" si="71"/>
        <v>1.1851611507678999</v>
      </c>
      <c r="Z155" s="166">
        <f t="shared" si="69"/>
        <v>2.6307477111356405E-3</v>
      </c>
    </row>
    <row r="156" spans="1:26" x14ac:dyDescent="0.25">
      <c r="A156" s="163" t="s">
        <v>118</v>
      </c>
      <c r="B156" s="164" t="s">
        <v>118</v>
      </c>
      <c r="C156" s="165">
        <v>563</v>
      </c>
      <c r="D156" s="165">
        <v>1370</v>
      </c>
      <c r="E156" s="165">
        <v>2211</v>
      </c>
      <c r="F156" s="165">
        <v>2245</v>
      </c>
      <c r="G156" s="165">
        <v>2884</v>
      </c>
      <c r="H156" s="166">
        <f t="shared" si="72"/>
        <v>0.2846325167037862</v>
      </c>
      <c r="I156" s="180">
        <f t="shared" si="63"/>
        <v>4.1225577264653639</v>
      </c>
      <c r="J156" s="166">
        <f t="shared" si="73"/>
        <v>3.8006879192419708E-3</v>
      </c>
      <c r="K156" s="165">
        <v>1717</v>
      </c>
      <c r="L156" s="165">
        <v>3754</v>
      </c>
      <c r="M156" s="165">
        <v>4261</v>
      </c>
      <c r="N156" s="165">
        <v>7004</v>
      </c>
      <c r="O156" s="165">
        <v>8840</v>
      </c>
      <c r="P156" s="166">
        <f t="shared" si="74"/>
        <v>0.26213592233009719</v>
      </c>
      <c r="Q156" s="180">
        <f t="shared" si="70"/>
        <v>4.1485148514851486</v>
      </c>
      <c r="R156" s="166">
        <f t="shared" si="75"/>
        <v>2.5107716078311081E-3</v>
      </c>
      <c r="S156" s="165">
        <v>2280</v>
      </c>
      <c r="T156" s="165">
        <v>5124</v>
      </c>
      <c r="U156" s="165">
        <v>6472</v>
      </c>
      <c r="V156" s="165">
        <v>9249</v>
      </c>
      <c r="W156" s="165">
        <v>11724</v>
      </c>
      <c r="X156" s="166">
        <f t="shared" si="76"/>
        <v>0.26759649691858578</v>
      </c>
      <c r="Y156" s="180">
        <f t="shared" si="71"/>
        <v>4.1421052631578945</v>
      </c>
      <c r="Z156" s="166">
        <f t="shared" si="69"/>
        <v>1.7135868746447128E-3</v>
      </c>
    </row>
    <row r="157" spans="1:26" x14ac:dyDescent="0.25">
      <c r="A157" s="163" t="s">
        <v>125</v>
      </c>
      <c r="B157" s="164" t="s">
        <v>125</v>
      </c>
      <c r="C157" s="165">
        <v>250</v>
      </c>
      <c r="D157" s="165">
        <v>317</v>
      </c>
      <c r="E157" s="165">
        <v>761</v>
      </c>
      <c r="F157" s="165">
        <v>634</v>
      </c>
      <c r="G157" s="165">
        <v>898</v>
      </c>
      <c r="H157" s="166">
        <f t="shared" si="72"/>
        <v>0.41640378548895907</v>
      </c>
      <c r="I157" s="180">
        <f t="shared" si="63"/>
        <v>2.5920000000000001</v>
      </c>
      <c r="J157" s="166">
        <f t="shared" si="73"/>
        <v>1.1834319526627219E-3</v>
      </c>
      <c r="K157" s="165">
        <v>328</v>
      </c>
      <c r="L157" s="165">
        <v>589</v>
      </c>
      <c r="M157" s="165">
        <v>856</v>
      </c>
      <c r="N157" s="165">
        <v>868</v>
      </c>
      <c r="O157" s="165">
        <v>969</v>
      </c>
      <c r="P157" s="166">
        <f t="shared" si="74"/>
        <v>0.11635944700460832</v>
      </c>
      <c r="Q157" s="180">
        <f t="shared" si="70"/>
        <v>1.9542682926829267</v>
      </c>
      <c r="R157" s="166">
        <f t="shared" si="75"/>
        <v>2.7521919547379454E-4</v>
      </c>
      <c r="S157" s="165">
        <v>578</v>
      </c>
      <c r="T157" s="165">
        <v>906</v>
      </c>
      <c r="U157" s="165">
        <v>1617</v>
      </c>
      <c r="V157" s="165">
        <v>1502</v>
      </c>
      <c r="W157" s="165">
        <v>1867</v>
      </c>
      <c r="X157" s="166">
        <f t="shared" si="76"/>
        <v>0.24300932090545935</v>
      </c>
      <c r="Y157" s="180">
        <f t="shared" si="71"/>
        <v>2.2301038062283736</v>
      </c>
      <c r="Z157" s="166">
        <f t="shared" si="69"/>
        <v>4.2813194936657916E-4</v>
      </c>
    </row>
    <row r="158" spans="1:26" x14ac:dyDescent="0.25">
      <c r="A158" s="163" t="s">
        <v>121</v>
      </c>
      <c r="B158" s="164" t="s">
        <v>121</v>
      </c>
      <c r="C158" s="165">
        <v>236</v>
      </c>
      <c r="D158" s="165">
        <v>351</v>
      </c>
      <c r="E158" s="165">
        <v>597</v>
      </c>
      <c r="F158" s="165">
        <v>569</v>
      </c>
      <c r="G158" s="165">
        <v>772</v>
      </c>
      <c r="H158" s="166">
        <f t="shared" si="72"/>
        <v>0.35676625659050965</v>
      </c>
      <c r="I158" s="180">
        <f t="shared" si="63"/>
        <v>2.2711864406779663</v>
      </c>
      <c r="J158" s="166">
        <f t="shared" si="73"/>
        <v>1.0173824804628299E-3</v>
      </c>
      <c r="K158" s="165">
        <v>1262</v>
      </c>
      <c r="L158" s="165">
        <v>1393</v>
      </c>
      <c r="M158" s="165">
        <v>2346</v>
      </c>
      <c r="N158" s="165">
        <v>2305</v>
      </c>
      <c r="O158" s="165">
        <v>2540</v>
      </c>
      <c r="P158" s="166">
        <f t="shared" si="74"/>
        <v>0.10195227765726678</v>
      </c>
      <c r="Q158" s="180">
        <f t="shared" si="70"/>
        <v>1.0126782884310619</v>
      </c>
      <c r="R158" s="166">
        <f t="shared" si="75"/>
        <v>7.2142080134513734E-4</v>
      </c>
      <c r="S158" s="165">
        <v>1498</v>
      </c>
      <c r="T158" s="165">
        <v>1744</v>
      </c>
      <c r="U158" s="165">
        <v>2943</v>
      </c>
      <c r="V158" s="165">
        <v>2874</v>
      </c>
      <c r="W158" s="165">
        <v>3312</v>
      </c>
      <c r="X158" s="166">
        <f t="shared" si="76"/>
        <v>0.15240083507306879</v>
      </c>
      <c r="Y158" s="180">
        <f t="shared" si="71"/>
        <v>1.2109479305740987</v>
      </c>
      <c r="Z158" s="166">
        <f t="shared" si="69"/>
        <v>7.7921603400485004E-4</v>
      </c>
    </row>
    <row r="159" spans="1:26" x14ac:dyDescent="0.25">
      <c r="A159" s="163" t="s">
        <v>130</v>
      </c>
      <c r="B159" s="164" t="s">
        <v>130</v>
      </c>
      <c r="C159" s="165">
        <v>58</v>
      </c>
      <c r="D159" s="165">
        <v>71</v>
      </c>
      <c r="E159" s="165">
        <v>195</v>
      </c>
      <c r="F159" s="165">
        <v>156</v>
      </c>
      <c r="G159" s="165">
        <v>110</v>
      </c>
      <c r="H159" s="166">
        <f t="shared" si="72"/>
        <v>-0.29487179487179482</v>
      </c>
      <c r="I159" s="180">
        <f t="shared" si="63"/>
        <v>0.89655172413793105</v>
      </c>
      <c r="J159" s="166">
        <f t="shared" si="73"/>
        <v>1.449638249364136E-4</v>
      </c>
      <c r="K159" s="165">
        <v>174</v>
      </c>
      <c r="L159" s="165">
        <v>211</v>
      </c>
      <c r="M159" s="165">
        <v>277</v>
      </c>
      <c r="N159" s="165">
        <v>276</v>
      </c>
      <c r="O159" s="165">
        <v>264</v>
      </c>
      <c r="P159" s="166">
        <f t="shared" si="74"/>
        <v>-4.3478260869565188E-2</v>
      </c>
      <c r="Q159" s="180">
        <f t="shared" si="70"/>
        <v>0.51724137931034475</v>
      </c>
      <c r="R159" s="166">
        <f t="shared" si="75"/>
        <v>7.4982319509888295E-5</v>
      </c>
      <c r="S159" s="165">
        <v>232</v>
      </c>
      <c r="T159" s="165">
        <v>282</v>
      </c>
      <c r="U159" s="165">
        <v>472</v>
      </c>
      <c r="V159" s="165">
        <v>432</v>
      </c>
      <c r="W159" s="165">
        <v>374</v>
      </c>
      <c r="X159" s="166">
        <f t="shared" si="76"/>
        <v>-0.1342592592592593</v>
      </c>
      <c r="Y159" s="180">
        <f t="shared" si="71"/>
        <v>0.61206896551724133</v>
      </c>
      <c r="Z159" s="166">
        <f t="shared" si="69"/>
        <v>1.2497110705072688E-4</v>
      </c>
    </row>
    <row r="160" spans="1:26" x14ac:dyDescent="0.25">
      <c r="A160" s="163" t="s">
        <v>133</v>
      </c>
      <c r="B160" s="164" t="s">
        <v>133</v>
      </c>
      <c r="C160" s="165">
        <v>70</v>
      </c>
      <c r="D160" s="165">
        <v>84</v>
      </c>
      <c r="E160" s="165">
        <v>99</v>
      </c>
      <c r="F160" s="165">
        <v>155</v>
      </c>
      <c r="G160" s="165">
        <v>126</v>
      </c>
      <c r="H160" s="166">
        <f t="shared" si="72"/>
        <v>-0.18709677419354842</v>
      </c>
      <c r="I160" s="180">
        <f t="shared" si="63"/>
        <v>0.8</v>
      </c>
      <c r="J160" s="166">
        <f t="shared" si="73"/>
        <v>1.6604947219989194E-4</v>
      </c>
      <c r="K160" s="165">
        <v>228</v>
      </c>
      <c r="L160" s="165">
        <v>362</v>
      </c>
      <c r="M160" s="165">
        <v>555</v>
      </c>
      <c r="N160" s="165">
        <v>677</v>
      </c>
      <c r="O160" s="165">
        <v>456</v>
      </c>
      <c r="P160" s="166">
        <f t="shared" si="74"/>
        <v>-0.3264401772525849</v>
      </c>
      <c r="Q160" s="180">
        <f t="shared" si="70"/>
        <v>1</v>
      </c>
      <c r="R160" s="166">
        <f t="shared" si="75"/>
        <v>1.2951491551707977E-4</v>
      </c>
      <c r="S160" s="165">
        <v>298</v>
      </c>
      <c r="T160" s="165">
        <v>446</v>
      </c>
      <c r="U160" s="165">
        <v>654</v>
      </c>
      <c r="V160" s="165">
        <v>832</v>
      </c>
      <c r="W160" s="165">
        <v>582</v>
      </c>
      <c r="X160" s="166">
        <f t="shared" si="76"/>
        <v>-0.30048076923076927</v>
      </c>
      <c r="Y160" s="180">
        <f t="shared" si="71"/>
        <v>0.95302013422818788</v>
      </c>
      <c r="Z160" s="166">
        <f t="shared" si="69"/>
        <v>1.7315911866774445E-4</v>
      </c>
    </row>
    <row r="161" spans="1:26" x14ac:dyDescent="0.25">
      <c r="A161" s="168" t="s">
        <v>147</v>
      </c>
      <c r="B161" s="169" t="s">
        <v>147</v>
      </c>
      <c r="C161" s="170">
        <f>C153-SUM(C154:C160)</f>
        <v>1386</v>
      </c>
      <c r="D161" s="170">
        <f>D153-SUM(D154:D160)</f>
        <v>3056</v>
      </c>
      <c r="E161" s="170">
        <f>E153-SUM(E154:E160)</f>
        <v>5087</v>
      </c>
      <c r="F161" s="170">
        <f>F153-SUM(F154:F160)</f>
        <v>5702</v>
      </c>
      <c r="G161" s="170">
        <f>G153-SUM(G154:G160)</f>
        <v>8104</v>
      </c>
      <c r="H161" s="171">
        <f t="shared" si="72"/>
        <v>0.42125569975447208</v>
      </c>
      <c r="I161" s="181">
        <f t="shared" si="63"/>
        <v>4.8470418470418473</v>
      </c>
      <c r="J161" s="171">
        <f t="shared" si="73"/>
        <v>1.0679880338951779E-2</v>
      </c>
      <c r="K161" s="170">
        <f>K153-SUM(K154:K160)</f>
        <v>3542</v>
      </c>
      <c r="L161" s="170">
        <f>L153-SUM(L154:L160)</f>
        <v>5458</v>
      </c>
      <c r="M161" s="170">
        <f>M153-SUM(M154:M160)</f>
        <v>5084</v>
      </c>
      <c r="N161" s="170">
        <f>N153-SUM(N154:N160)</f>
        <v>7400</v>
      </c>
      <c r="O161" s="170">
        <f>O153-SUM(O154:O160)</f>
        <v>8341</v>
      </c>
      <c r="P161" s="171">
        <f t="shared" si="74"/>
        <v>0.12716216216216214</v>
      </c>
      <c r="Q161" s="181">
        <f t="shared" si="70"/>
        <v>1.3548842461885942</v>
      </c>
      <c r="R161" s="171">
        <f t="shared" si="75"/>
        <v>2.3690436629999175E-3</v>
      </c>
      <c r="S161" s="170">
        <f>S153-SUM(S154:S160)</f>
        <v>4928</v>
      </c>
      <c r="T161" s="170">
        <f>T153-SUM(T154:T160)</f>
        <v>8514</v>
      </c>
      <c r="U161" s="170">
        <f>U153-SUM(U154:U160)</f>
        <v>10171</v>
      </c>
      <c r="V161" s="170">
        <f>V153-SUM(V154:V160)</f>
        <v>13102</v>
      </c>
      <c r="W161" s="170">
        <f>W153-SUM(W154:W160)</f>
        <v>16445</v>
      </c>
      <c r="X161" s="171">
        <f t="shared" si="76"/>
        <v>0.25515188520836518</v>
      </c>
      <c r="Y161" s="181">
        <f t="shared" si="71"/>
        <v>2.3370535714285716</v>
      </c>
      <c r="Z161" s="171">
        <f t="shared" si="69"/>
        <v>2.692968495366405E-3</v>
      </c>
    </row>
    <row r="162" spans="1:26" ht="6" customHeight="1" x14ac:dyDescent="0.25">
      <c r="C162" s="81"/>
      <c r="D162" s="81"/>
      <c r="E162" s="81"/>
      <c r="F162" s="81"/>
      <c r="G162" s="81"/>
      <c r="H162" s="81"/>
      <c r="K162" s="81"/>
      <c r="L162" s="81"/>
      <c r="M162" s="81"/>
      <c r="N162" s="81"/>
      <c r="O162" s="81"/>
      <c r="P162" s="81"/>
      <c r="S162" s="81"/>
      <c r="T162" s="81"/>
      <c r="U162" s="81"/>
      <c r="V162" s="81"/>
      <c r="W162" s="81"/>
      <c r="X162" s="81"/>
    </row>
    <row r="163" spans="1:26" ht="6" customHeight="1" x14ac:dyDescent="0.25">
      <c r="B163" s="172"/>
      <c r="C163" s="172"/>
      <c r="D163" s="172"/>
      <c r="E163" s="172"/>
      <c r="F163" s="172"/>
      <c r="G163" s="172"/>
      <c r="H163" s="172"/>
      <c r="I163" s="172"/>
      <c r="J163" s="172"/>
      <c r="K163" s="172"/>
      <c r="L163" s="172"/>
      <c r="M163" s="172"/>
      <c r="N163" s="172"/>
      <c r="O163" s="172"/>
      <c r="P163" s="172"/>
      <c r="Q163" s="172"/>
      <c r="R163" s="172"/>
      <c r="S163" s="172"/>
      <c r="T163" s="172"/>
      <c r="U163" s="172"/>
      <c r="V163" s="172"/>
      <c r="W163" s="172"/>
      <c r="X163" s="172"/>
      <c r="Y163" s="172"/>
      <c r="Z163" s="172"/>
    </row>
    <row r="164" spans="1:26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</row>
  </sheetData>
  <mergeCells count="3">
    <mergeCell ref="C6:J6"/>
    <mergeCell ref="K6:R6"/>
    <mergeCell ref="S6:Z6"/>
  </mergeCells>
  <pageMargins left="0.7" right="0.7" top="0.75" bottom="0.75" header="0.3" footer="0.3"/>
  <pageSetup paperSize="9" scale="2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983A34-1D6F-4F44-8B65-E2BED942E620}">
  <sheetPr>
    <tabColor theme="8" tint="0.59999389629810485"/>
  </sheetPr>
  <dimension ref="A4:L77"/>
  <sheetViews>
    <sheetView showGridLines="0" zoomScaleNormal="100" workbookViewId="0"/>
  </sheetViews>
  <sheetFormatPr baseColWidth="10" defaultColWidth="11.42578125" defaultRowHeight="15" x14ac:dyDescent="0.25"/>
  <cols>
    <col min="3" max="3" width="16.85546875" customWidth="1"/>
    <col min="4" max="4" width="15.5703125" customWidth="1"/>
    <col min="5" max="9" width="12.7109375" customWidth="1"/>
    <col min="12" max="12" width="12" customWidth="1"/>
  </cols>
  <sheetData>
    <row r="4" spans="2:12" ht="21.75" thickBot="1" x14ac:dyDescent="0.3">
      <c r="B4" s="278" t="s">
        <v>223</v>
      </c>
      <c r="C4" s="278"/>
      <c r="D4" s="278"/>
      <c r="E4" s="278"/>
      <c r="F4" s="278"/>
      <c r="G4" s="278"/>
      <c r="H4" s="278"/>
      <c r="I4" s="278"/>
      <c r="J4" s="278"/>
      <c r="K4" s="278"/>
      <c r="L4" s="12"/>
    </row>
    <row r="5" spans="2:12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2" ht="30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junio 2025</v>
      </c>
    </row>
    <row r="7" spans="2:12" x14ac:dyDescent="0.25">
      <c r="B7" s="279" t="s">
        <v>53</v>
      </c>
      <c r="C7" s="282" t="s">
        <v>8</v>
      </c>
      <c r="D7" s="15" t="s">
        <v>32</v>
      </c>
      <c r="E7" s="16">
        <v>13541</v>
      </c>
      <c r="F7" s="16">
        <v>17608</v>
      </c>
      <c r="G7" s="16">
        <v>17983</v>
      </c>
      <c r="H7" s="16">
        <v>19479</v>
      </c>
      <c r="I7" s="16">
        <v>20873</v>
      </c>
      <c r="J7" s="17">
        <f>I7/H7-1</f>
        <v>7.1564248678063658E-2</v>
      </c>
      <c r="K7" s="16">
        <f>I7-H7</f>
        <v>1394</v>
      </c>
      <c r="L7" s="18">
        <f>I7/$I$7</f>
        <v>1</v>
      </c>
    </row>
    <row r="8" spans="2:12" x14ac:dyDescent="0.25">
      <c r="B8" s="280"/>
      <c r="C8" s="283"/>
      <c r="D8" s="19" t="s">
        <v>33</v>
      </c>
      <c r="E8" s="20">
        <v>13541</v>
      </c>
      <c r="F8" s="20">
        <v>17608</v>
      </c>
      <c r="G8" s="20">
        <v>17983</v>
      </c>
      <c r="H8" s="20">
        <v>19479</v>
      </c>
      <c r="I8" s="20">
        <v>20873</v>
      </c>
      <c r="J8" s="21">
        <f t="shared" ref="J8:J20" si="0">I8/H8-1</f>
        <v>7.1564248678063658E-2</v>
      </c>
      <c r="K8" s="20">
        <f t="shared" ref="K8:K17" si="1">I8-H8</f>
        <v>1394</v>
      </c>
      <c r="L8" s="22">
        <f>I8/$I$7</f>
        <v>1</v>
      </c>
    </row>
    <row r="9" spans="2:12" x14ac:dyDescent="0.25">
      <c r="B9" s="280"/>
      <c r="C9" s="284"/>
      <c r="D9" s="23" t="s">
        <v>34</v>
      </c>
      <c r="E9" s="24" t="s">
        <v>229</v>
      </c>
      <c r="F9" s="24" t="s">
        <v>229</v>
      </c>
      <c r="G9" s="24" t="s">
        <v>229</v>
      </c>
      <c r="H9" s="24" t="s">
        <v>229</v>
      </c>
      <c r="I9" s="24" t="s">
        <v>229</v>
      </c>
      <c r="J9" s="25" t="str">
        <f>IFERROR(I9/H9-1,"-")</f>
        <v>-</v>
      </c>
      <c r="K9" s="24" t="str">
        <f>IFERROR(I9-H9,"-")</f>
        <v>-</v>
      </c>
      <c r="L9" s="25" t="str">
        <f>IFERROR(I9/$I$7,"-")</f>
        <v>-</v>
      </c>
    </row>
    <row r="10" spans="2:12" x14ac:dyDescent="0.25">
      <c r="B10" s="280"/>
      <c r="C10" s="285" t="s">
        <v>35</v>
      </c>
      <c r="D10" s="26" t="s">
        <v>32</v>
      </c>
      <c r="E10" s="27">
        <v>13942</v>
      </c>
      <c r="F10" s="27">
        <v>18300</v>
      </c>
      <c r="G10" s="27">
        <v>18588</v>
      </c>
      <c r="H10" s="27">
        <v>20189</v>
      </c>
      <c r="I10" s="27">
        <v>21402</v>
      </c>
      <c r="J10" s="28">
        <f t="shared" si="0"/>
        <v>6.0082222992718703E-2</v>
      </c>
      <c r="K10" s="27">
        <f t="shared" si="1"/>
        <v>1213</v>
      </c>
      <c r="L10" s="18">
        <f>I10/$I$10</f>
        <v>1</v>
      </c>
    </row>
    <row r="11" spans="2:12" x14ac:dyDescent="0.25">
      <c r="B11" s="280"/>
      <c r="C11" s="286"/>
      <c r="D11" s="4" t="s">
        <v>33</v>
      </c>
      <c r="E11" s="29">
        <v>13942</v>
      </c>
      <c r="F11" s="29">
        <v>18300</v>
      </c>
      <c r="G11" s="29">
        <v>18588</v>
      </c>
      <c r="H11" s="29">
        <v>20189</v>
      </c>
      <c r="I11" s="29">
        <v>21402</v>
      </c>
      <c r="J11" s="30">
        <f t="shared" si="0"/>
        <v>6.0082222992718703E-2</v>
      </c>
      <c r="K11" s="29">
        <f t="shared" si="1"/>
        <v>1213</v>
      </c>
      <c r="L11" s="31">
        <f>I11/$I$10</f>
        <v>1</v>
      </c>
    </row>
    <row r="12" spans="2:12" x14ac:dyDescent="0.25">
      <c r="B12" s="280"/>
      <c r="C12" s="287"/>
      <c r="D12" s="32" t="s">
        <v>34</v>
      </c>
      <c r="E12" s="33" t="s">
        <v>229</v>
      </c>
      <c r="F12" s="33" t="s">
        <v>229</v>
      </c>
      <c r="G12" s="33" t="s">
        <v>229</v>
      </c>
      <c r="H12" s="33" t="s">
        <v>229</v>
      </c>
      <c r="I12" s="33" t="s">
        <v>229</v>
      </c>
      <c r="J12" s="34" t="str">
        <f>IFERROR(I12/H12-1,"-")</f>
        <v>-</v>
      </c>
      <c r="K12" s="33" t="str">
        <f>IFERROR(I12-H12,"-")</f>
        <v>-</v>
      </c>
      <c r="L12" s="34" t="str">
        <f>IFERROR(I12/$I$10,"-")</f>
        <v>-</v>
      </c>
    </row>
    <row r="13" spans="2:12" x14ac:dyDescent="0.25">
      <c r="B13" s="280"/>
      <c r="C13" s="282" t="s">
        <v>21</v>
      </c>
      <c r="D13" s="15" t="s">
        <v>32</v>
      </c>
      <c r="E13" s="16">
        <v>26795</v>
      </c>
      <c r="F13" s="16">
        <v>40470</v>
      </c>
      <c r="G13" s="16">
        <v>38639</v>
      </c>
      <c r="H13" s="16">
        <v>40074</v>
      </c>
      <c r="I13" s="16">
        <v>42497</v>
      </c>
      <c r="J13" s="17">
        <f t="shared" si="0"/>
        <v>6.0463143185107482E-2</v>
      </c>
      <c r="K13" s="16">
        <f t="shared" si="1"/>
        <v>2423</v>
      </c>
      <c r="L13" s="18">
        <f>I13/$I$13</f>
        <v>1</v>
      </c>
    </row>
    <row r="14" spans="2:12" x14ac:dyDescent="0.25">
      <c r="B14" s="280"/>
      <c r="C14" s="283"/>
      <c r="D14" s="19" t="s">
        <v>33</v>
      </c>
      <c r="E14" s="20">
        <v>26795</v>
      </c>
      <c r="F14" s="20">
        <v>40470</v>
      </c>
      <c r="G14" s="20">
        <v>38639</v>
      </c>
      <c r="H14" s="20">
        <v>40074</v>
      </c>
      <c r="I14" s="20">
        <v>42497</v>
      </c>
      <c r="J14" s="21">
        <f t="shared" si="0"/>
        <v>6.0463143185107482E-2</v>
      </c>
      <c r="K14" s="20">
        <f t="shared" si="1"/>
        <v>2423</v>
      </c>
      <c r="L14" s="22">
        <f>I14/$I$13</f>
        <v>1</v>
      </c>
    </row>
    <row r="15" spans="2:12" x14ac:dyDescent="0.25">
      <c r="B15" s="280"/>
      <c r="C15" s="284"/>
      <c r="D15" s="23" t="s">
        <v>34</v>
      </c>
      <c r="E15" s="24" t="s">
        <v>229</v>
      </c>
      <c r="F15" s="24" t="s">
        <v>229</v>
      </c>
      <c r="G15" s="24" t="s">
        <v>229</v>
      </c>
      <c r="H15" s="24" t="s">
        <v>229</v>
      </c>
      <c r="I15" s="24" t="s">
        <v>229</v>
      </c>
      <c r="J15" s="25" t="str">
        <f>IFERROR(I15/H15-1,"-")</f>
        <v>-</v>
      </c>
      <c r="K15" s="24" t="str">
        <f>IFERROR(I15-H15,"-")</f>
        <v>-</v>
      </c>
      <c r="L15" s="25" t="str">
        <f>IFERROR(I15/$I$13,"-")</f>
        <v>-</v>
      </c>
    </row>
    <row r="16" spans="2:12" x14ac:dyDescent="0.25">
      <c r="B16" s="280"/>
      <c r="C16" s="285" t="s">
        <v>22</v>
      </c>
      <c r="D16" s="26" t="s">
        <v>32</v>
      </c>
      <c r="E16" s="35">
        <v>1.9788051104054354</v>
      </c>
      <c r="F16" s="35">
        <v>2.2983870967741935</v>
      </c>
      <c r="G16" s="35">
        <v>2.1486403825835509</v>
      </c>
      <c r="H16" s="35">
        <v>2.0572924688125673</v>
      </c>
      <c r="I16" s="35">
        <v>2.0359794950414409</v>
      </c>
      <c r="J16" s="36">
        <f t="shared" si="0"/>
        <v>-1.0359719920341681E-2</v>
      </c>
      <c r="K16" s="37">
        <f t="shared" si="1"/>
        <v>-2.1312973771126398E-2</v>
      </c>
      <c r="L16" s="38"/>
    </row>
    <row r="17" spans="2:12" x14ac:dyDescent="0.25">
      <c r="B17" s="280"/>
      <c r="C17" s="286"/>
      <c r="D17" s="4" t="s">
        <v>33</v>
      </c>
      <c r="E17" s="39">
        <f>E14/E8</f>
        <v>1.9788051104054354</v>
      </c>
      <c r="F17" s="39">
        <f t="shared" ref="F17:I17" si="2">F14/F8</f>
        <v>2.2983870967741935</v>
      </c>
      <c r="G17" s="39">
        <f t="shared" si="2"/>
        <v>2.1486403825835509</v>
      </c>
      <c r="H17" s="39">
        <f t="shared" si="2"/>
        <v>2.0572924688125673</v>
      </c>
      <c r="I17" s="39">
        <f t="shared" si="2"/>
        <v>2.0359794950414409</v>
      </c>
      <c r="J17" s="40">
        <f t="shared" si="0"/>
        <v>-1.0359719920341681E-2</v>
      </c>
      <c r="K17" s="41">
        <f t="shared" si="1"/>
        <v>-2.1312973771126398E-2</v>
      </c>
      <c r="L17" s="42"/>
    </row>
    <row r="18" spans="2:12" x14ac:dyDescent="0.25">
      <c r="B18" s="280"/>
      <c r="C18" s="287"/>
      <c r="D18" s="32" t="s">
        <v>34</v>
      </c>
      <c r="E18" s="43" t="str">
        <f>IFERROR(E15/E9,"-")</f>
        <v>-</v>
      </c>
      <c r="F18" s="43" t="str">
        <f t="shared" ref="F18:I18" si="3">IFERROR(F15/F9,"-")</f>
        <v>-</v>
      </c>
      <c r="G18" s="43" t="str">
        <f t="shared" si="3"/>
        <v>-</v>
      </c>
      <c r="H18" s="43" t="str">
        <f t="shared" si="3"/>
        <v>-</v>
      </c>
      <c r="I18" s="43" t="str">
        <f t="shared" si="3"/>
        <v>-</v>
      </c>
      <c r="J18" s="34" t="str">
        <f>IFERROR(I18/H18-1,"-")</f>
        <v>-</v>
      </c>
      <c r="K18" s="33" t="str">
        <f>IFERROR(I18-H18,"-")</f>
        <v>-</v>
      </c>
      <c r="L18" s="34"/>
    </row>
    <row r="19" spans="2:12" x14ac:dyDescent="0.25">
      <c r="B19" s="280"/>
      <c r="C19" s="288" t="s">
        <v>36</v>
      </c>
      <c r="D19" s="15" t="s">
        <v>32</v>
      </c>
      <c r="E19" s="18">
        <v>0.37560000000000004</v>
      </c>
      <c r="F19" s="18">
        <v>0.49780000000000002</v>
      </c>
      <c r="G19" s="18">
        <v>0.47020000000000001</v>
      </c>
      <c r="H19" s="18">
        <v>0.48170000000000002</v>
      </c>
      <c r="I19" s="18">
        <v>0.52880000000000005</v>
      </c>
      <c r="J19" s="17">
        <f t="shared" si="0"/>
        <v>9.7778700435956045E-2</v>
      </c>
      <c r="K19" s="44">
        <f>(I19-H19)*100</f>
        <v>4.7100000000000026</v>
      </c>
      <c r="L19" s="18"/>
    </row>
    <row r="20" spans="2:12" x14ac:dyDescent="0.25">
      <c r="B20" s="280"/>
      <c r="C20" s="289"/>
      <c r="D20" s="19" t="s">
        <v>33</v>
      </c>
      <c r="E20" s="22">
        <v>0.37560000000000004</v>
      </c>
      <c r="F20" s="22">
        <v>0.49780000000000002</v>
      </c>
      <c r="G20" s="22">
        <v>0.47020000000000001</v>
      </c>
      <c r="H20" s="22">
        <v>0.48170000000000002</v>
      </c>
      <c r="I20" s="22">
        <v>0.52880000000000005</v>
      </c>
      <c r="J20" s="21">
        <f t="shared" si="0"/>
        <v>9.7778700435956045E-2</v>
      </c>
      <c r="K20" s="46">
        <f>(I20-H20)*100</f>
        <v>4.7100000000000026</v>
      </c>
      <c r="L20" s="22"/>
    </row>
    <row r="21" spans="2:12" x14ac:dyDescent="0.25">
      <c r="B21" s="280"/>
      <c r="C21" s="290"/>
      <c r="D21" s="23" t="s">
        <v>34</v>
      </c>
      <c r="E21" s="25" t="s">
        <v>229</v>
      </c>
      <c r="F21" s="25" t="s">
        <v>229</v>
      </c>
      <c r="G21" s="25" t="s">
        <v>229</v>
      </c>
      <c r="H21" s="25" t="s">
        <v>229</v>
      </c>
      <c r="I21" s="25" t="s">
        <v>229</v>
      </c>
      <c r="J21" s="25" t="str">
        <f>IFERROR(I21/H21-1,"-")</f>
        <v>-</v>
      </c>
      <c r="K21" s="24" t="str">
        <f>IFERROR(I21-H21,"-")</f>
        <v>-</v>
      </c>
      <c r="L21" s="47"/>
    </row>
    <row r="22" spans="2:12" x14ac:dyDescent="0.25">
      <c r="B22" s="280"/>
      <c r="C22" s="291" t="s">
        <v>37</v>
      </c>
      <c r="D22" s="26" t="s">
        <v>32</v>
      </c>
      <c r="E22" s="27">
        <v>2378</v>
      </c>
      <c r="F22" s="27">
        <v>2710</v>
      </c>
      <c r="G22" s="27">
        <v>2739</v>
      </c>
      <c r="H22" s="27">
        <v>2773</v>
      </c>
      <c r="I22" s="27">
        <v>2679</v>
      </c>
      <c r="J22" s="36">
        <f>I22/H22-1</f>
        <v>-3.3898305084745783E-2</v>
      </c>
      <c r="K22" s="27">
        <f>I22-H22</f>
        <v>-94</v>
      </c>
      <c r="L22" s="38">
        <f>I22/$I$22</f>
        <v>1</v>
      </c>
    </row>
    <row r="23" spans="2:12" x14ac:dyDescent="0.25">
      <c r="B23" s="280"/>
      <c r="C23" s="292"/>
      <c r="D23" s="4" t="s">
        <v>33</v>
      </c>
      <c r="E23" s="29">
        <v>2378</v>
      </c>
      <c r="F23" s="29">
        <v>2710</v>
      </c>
      <c r="G23" s="29">
        <v>2739</v>
      </c>
      <c r="H23" s="29">
        <v>2773</v>
      </c>
      <c r="I23" s="29">
        <v>2679</v>
      </c>
      <c r="J23" s="40">
        <f>I23/H23-1</f>
        <v>-3.3898305084745783E-2</v>
      </c>
      <c r="K23" s="29">
        <f>I23-H23</f>
        <v>-94</v>
      </c>
      <c r="L23" s="42">
        <f>I23/$I$22</f>
        <v>1</v>
      </c>
    </row>
    <row r="24" spans="2:12" x14ac:dyDescent="0.25">
      <c r="B24" s="281"/>
      <c r="C24" s="293"/>
      <c r="D24" s="32" t="s">
        <v>34</v>
      </c>
      <c r="E24" s="33" t="s">
        <v>229</v>
      </c>
      <c r="F24" s="33" t="s">
        <v>229</v>
      </c>
      <c r="G24" s="33" t="s">
        <v>229</v>
      </c>
      <c r="H24" s="33" t="s">
        <v>229</v>
      </c>
      <c r="I24" s="33" t="s">
        <v>229</v>
      </c>
      <c r="J24" s="34" t="str">
        <f>IFERROR(I24/H24-1,"-")</f>
        <v>-</v>
      </c>
      <c r="K24" s="33" t="str">
        <f>IFERROR(I24-H24,"-")</f>
        <v>-</v>
      </c>
      <c r="L24" s="34" t="str">
        <f>IFERROR(I24/$I$22,"-")</f>
        <v>-</v>
      </c>
    </row>
    <row r="25" spans="2:12" ht="7.5" customHeight="1" x14ac:dyDescent="0.25">
      <c r="B25" s="294"/>
      <c r="C25" s="294"/>
      <c r="D25" s="294"/>
      <c r="E25" s="294"/>
      <c r="F25" s="294"/>
      <c r="G25" s="294"/>
      <c r="H25" s="294"/>
      <c r="I25" s="294"/>
      <c r="J25" s="294"/>
      <c r="K25" s="294"/>
      <c r="L25" s="48"/>
    </row>
    <row r="26" spans="2:12" ht="24.75" customHeight="1" x14ac:dyDescent="0.25">
      <c r="B26" s="295" t="s">
        <v>38</v>
      </c>
      <c r="C26" s="296"/>
      <c r="D26" s="296"/>
      <c r="E26" s="296"/>
      <c r="F26" s="296"/>
      <c r="G26" s="296"/>
      <c r="H26" s="296"/>
      <c r="I26" s="296"/>
      <c r="J26" s="296"/>
      <c r="K26" s="296"/>
    </row>
    <row r="29" spans="2:12" ht="21.75" customHeight="1" thickBot="1" x14ac:dyDescent="0.3">
      <c r="B29" s="278" t="s">
        <v>223</v>
      </c>
      <c r="C29" s="278"/>
      <c r="D29" s="278"/>
      <c r="E29" s="278"/>
      <c r="F29" s="278"/>
      <c r="G29" s="278"/>
      <c r="H29" s="278"/>
      <c r="I29" s="278"/>
      <c r="J29" s="278"/>
      <c r="K29" s="278"/>
      <c r="L29" s="12"/>
    </row>
    <row r="30" spans="2:12" ht="6" customHeight="1" thickBot="1" x14ac:dyDescent="0.3"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</row>
    <row r="31" spans="2:12" ht="45" x14ac:dyDescent="0.25">
      <c r="B31" s="4"/>
      <c r="C31" s="4"/>
      <c r="D31" s="4"/>
      <c r="E31" s="13" t="s">
        <v>230</v>
      </c>
      <c r="F31" s="13" t="s">
        <v>231</v>
      </c>
      <c r="G31" s="13" t="s">
        <v>232</v>
      </c>
      <c r="H31" s="13" t="s">
        <v>233</v>
      </c>
      <c r="I31" s="13" t="s">
        <v>234</v>
      </c>
      <c r="J31" s="14" t="str">
        <f>CONCATENATE("var. ",RIGHT(I31,2),"/",RIGHT(H31,2))</f>
        <v>var. 25/24</v>
      </c>
      <c r="K31" s="14" t="str">
        <f>CONCATENATE("dif. ",RIGHT(I31,2),"/",RIGHT(H31,2))</f>
        <v>dif. 25/24</v>
      </c>
      <c r="L31" s="14" t="str">
        <f>CONCATENATE("cuota ",I31)</f>
        <v>cuota acumulado a junio 2025</v>
      </c>
    </row>
    <row r="32" spans="2:12" ht="15" customHeight="1" x14ac:dyDescent="0.25">
      <c r="B32" s="279" t="s">
        <v>53</v>
      </c>
      <c r="C32" s="282" t="s">
        <v>8</v>
      </c>
      <c r="D32" s="15" t="s">
        <v>32</v>
      </c>
      <c r="E32" s="50">
        <v>58803</v>
      </c>
      <c r="F32" s="50">
        <v>104421</v>
      </c>
      <c r="G32" s="50">
        <v>126576</v>
      </c>
      <c r="H32" s="50">
        <v>125410</v>
      </c>
      <c r="I32" s="50">
        <v>140761</v>
      </c>
      <c r="J32" s="17">
        <f>I32/H32-1</f>
        <v>0.12240650665816122</v>
      </c>
      <c r="K32" s="16">
        <f>I32-H32</f>
        <v>15351</v>
      </c>
      <c r="L32" s="18">
        <f>I32/$I$32</f>
        <v>1</v>
      </c>
    </row>
    <row r="33" spans="1:12" x14ac:dyDescent="0.25">
      <c r="B33" s="280"/>
      <c r="C33" s="283"/>
      <c r="D33" s="19" t="s">
        <v>33</v>
      </c>
      <c r="E33" s="51">
        <v>58803</v>
      </c>
      <c r="F33" s="51">
        <v>104421</v>
      </c>
      <c r="G33" s="51">
        <v>126576</v>
      </c>
      <c r="H33" s="51">
        <v>125410</v>
      </c>
      <c r="I33" s="51">
        <v>140761</v>
      </c>
      <c r="J33" s="21">
        <f t="shared" ref="J33:J45" si="4">I33/H33-1</f>
        <v>0.12240650665816122</v>
      </c>
      <c r="K33" s="20">
        <f t="shared" ref="K33:K42" si="5">I33-H33</f>
        <v>15351</v>
      </c>
      <c r="L33" s="22">
        <f>I33/$I$32</f>
        <v>1</v>
      </c>
    </row>
    <row r="34" spans="1:12" x14ac:dyDescent="0.25">
      <c r="B34" s="280"/>
      <c r="C34" s="284"/>
      <c r="D34" s="23" t="s">
        <v>34</v>
      </c>
      <c r="E34" s="24" t="s">
        <v>229</v>
      </c>
      <c r="F34" s="24" t="s">
        <v>229</v>
      </c>
      <c r="G34" s="24" t="s">
        <v>229</v>
      </c>
      <c r="H34" s="24" t="s">
        <v>229</v>
      </c>
      <c r="I34" s="24" t="s">
        <v>229</v>
      </c>
      <c r="J34" s="25" t="str">
        <f>IFERROR(I34/H34-1,"-")</f>
        <v>-</v>
      </c>
      <c r="K34" s="24" t="str">
        <f>IFERROR(I34-H34,"-")</f>
        <v>-</v>
      </c>
      <c r="L34" s="25" t="str">
        <f>IFERROR(I34/I32,"-")</f>
        <v>-</v>
      </c>
    </row>
    <row r="35" spans="1:12" x14ac:dyDescent="0.25">
      <c r="B35" s="280"/>
      <c r="C35" s="285" t="s">
        <v>35</v>
      </c>
      <c r="D35" s="26" t="s">
        <v>32</v>
      </c>
      <c r="E35" s="52">
        <v>60421</v>
      </c>
      <c r="F35" s="52">
        <v>109587</v>
      </c>
      <c r="G35" s="52">
        <v>132057</v>
      </c>
      <c r="H35" s="52">
        <v>131356</v>
      </c>
      <c r="I35" s="52">
        <v>146899</v>
      </c>
      <c r="J35" s="28">
        <f t="shared" si="4"/>
        <v>0.11832729376655804</v>
      </c>
      <c r="K35" s="27">
        <f t="shared" si="5"/>
        <v>15543</v>
      </c>
      <c r="L35" s="18">
        <f>I35/$I$35</f>
        <v>1</v>
      </c>
    </row>
    <row r="36" spans="1:12" x14ac:dyDescent="0.25">
      <c r="B36" s="280"/>
      <c r="C36" s="286"/>
      <c r="D36" s="4" t="s">
        <v>33</v>
      </c>
      <c r="E36" s="53">
        <v>60421</v>
      </c>
      <c r="F36" s="53">
        <v>109587</v>
      </c>
      <c r="G36" s="53">
        <v>132057</v>
      </c>
      <c r="H36" s="53">
        <v>131356</v>
      </c>
      <c r="I36" s="53">
        <v>146899</v>
      </c>
      <c r="J36" s="30">
        <f t="shared" si="4"/>
        <v>0.11832729376655804</v>
      </c>
      <c r="K36" s="29">
        <f t="shared" si="5"/>
        <v>15543</v>
      </c>
      <c r="L36" s="31">
        <f>I36/$I$35</f>
        <v>1</v>
      </c>
    </row>
    <row r="37" spans="1:12" x14ac:dyDescent="0.25">
      <c r="B37" s="280"/>
      <c r="C37" s="287"/>
      <c r="D37" s="32" t="s">
        <v>34</v>
      </c>
      <c r="E37" s="33" t="s">
        <v>229</v>
      </c>
      <c r="F37" s="33" t="s">
        <v>229</v>
      </c>
      <c r="G37" s="33" t="s">
        <v>229</v>
      </c>
      <c r="H37" s="33" t="s">
        <v>229</v>
      </c>
      <c r="I37" s="33" t="s">
        <v>229</v>
      </c>
      <c r="J37" s="34" t="str">
        <f>IFERROR(I37/H37-1,"-")</f>
        <v>-</v>
      </c>
      <c r="K37" s="33" t="str">
        <f>IFERROR(I37-H37,"-")</f>
        <v>-</v>
      </c>
      <c r="L37" s="34" t="str">
        <f>IFERROR(I37/I35,"-")</f>
        <v>-</v>
      </c>
    </row>
    <row r="38" spans="1:12" x14ac:dyDescent="0.25">
      <c r="B38" s="280"/>
      <c r="C38" s="282" t="s">
        <v>21</v>
      </c>
      <c r="D38" s="15" t="s">
        <v>32</v>
      </c>
      <c r="E38" s="50">
        <v>116916</v>
      </c>
      <c r="F38" s="50">
        <v>257944</v>
      </c>
      <c r="G38" s="50">
        <v>294093</v>
      </c>
      <c r="H38" s="50">
        <v>301774</v>
      </c>
      <c r="I38" s="50">
        <v>301669</v>
      </c>
      <c r="J38" s="17">
        <f t="shared" si="4"/>
        <v>-3.4794250001657367E-4</v>
      </c>
      <c r="K38" s="16">
        <f t="shared" si="5"/>
        <v>-105</v>
      </c>
      <c r="L38" s="18">
        <f>I38/$I$38</f>
        <v>1</v>
      </c>
    </row>
    <row r="39" spans="1:12" x14ac:dyDescent="0.25">
      <c r="B39" s="280"/>
      <c r="C39" s="283"/>
      <c r="D39" s="19" t="s">
        <v>33</v>
      </c>
      <c r="E39" s="51">
        <v>116916</v>
      </c>
      <c r="F39" s="51">
        <v>257944</v>
      </c>
      <c r="G39" s="51">
        <v>294093</v>
      </c>
      <c r="H39" s="51">
        <v>301774</v>
      </c>
      <c r="I39" s="51">
        <v>301669</v>
      </c>
      <c r="J39" s="21">
        <f t="shared" si="4"/>
        <v>-3.4794250001657367E-4</v>
      </c>
      <c r="K39" s="20">
        <f t="shared" si="5"/>
        <v>-105</v>
      </c>
      <c r="L39" s="22">
        <f>I39/$I$38</f>
        <v>1</v>
      </c>
    </row>
    <row r="40" spans="1:12" x14ac:dyDescent="0.25">
      <c r="B40" s="280"/>
      <c r="C40" s="284"/>
      <c r="D40" s="23" t="s">
        <v>34</v>
      </c>
      <c r="E40" s="24" t="s">
        <v>229</v>
      </c>
      <c r="F40" s="24" t="s">
        <v>229</v>
      </c>
      <c r="G40" s="24" t="s">
        <v>229</v>
      </c>
      <c r="H40" s="24" t="s">
        <v>229</v>
      </c>
      <c r="I40" s="24" t="s">
        <v>229</v>
      </c>
      <c r="J40" s="25" t="str">
        <f>IFERROR(I40/H40-1,"-")</f>
        <v>-</v>
      </c>
      <c r="K40" s="24" t="str">
        <f>IFERROR(I40-H40,"-")</f>
        <v>-</v>
      </c>
      <c r="L40" s="25" t="str">
        <f>IFERROR(I40/I38,"-")</f>
        <v>-</v>
      </c>
    </row>
    <row r="41" spans="1:12" x14ac:dyDescent="0.25">
      <c r="B41" s="280"/>
      <c r="C41" s="285" t="s">
        <v>22</v>
      </c>
      <c r="D41" s="26" t="s">
        <v>32</v>
      </c>
      <c r="E41" s="54">
        <v>1.9882659048007754</v>
      </c>
      <c r="F41" s="54">
        <v>2.4702310837858286</v>
      </c>
      <c r="G41" s="54">
        <v>2.3234499431171787</v>
      </c>
      <c r="H41" s="54">
        <v>2.4062993381708</v>
      </c>
      <c r="I41" s="54">
        <v>2.1431291337799534</v>
      </c>
      <c r="J41" s="36">
        <f t="shared" si="4"/>
        <v>-0.10936719310694776</v>
      </c>
      <c r="K41" s="37">
        <f t="shared" si="5"/>
        <v>-0.2631702043908466</v>
      </c>
      <c r="L41" s="38"/>
    </row>
    <row r="42" spans="1:12" x14ac:dyDescent="0.25">
      <c r="B42" s="280"/>
      <c r="C42" s="286"/>
      <c r="D42" s="4" t="s">
        <v>33</v>
      </c>
      <c r="E42" s="55">
        <f t="shared" ref="E42:I42" si="6">E39/E33</f>
        <v>1.9882659048007754</v>
      </c>
      <c r="F42" s="55">
        <f t="shared" si="6"/>
        <v>2.4702310837858286</v>
      </c>
      <c r="G42" s="55">
        <f t="shared" si="6"/>
        <v>2.3234499431171787</v>
      </c>
      <c r="H42" s="55">
        <f t="shared" si="6"/>
        <v>2.4062993381708</v>
      </c>
      <c r="I42" s="55">
        <f t="shared" si="6"/>
        <v>2.1431291337799534</v>
      </c>
      <c r="J42" s="40">
        <f t="shared" si="4"/>
        <v>-0.10936719310694776</v>
      </c>
      <c r="K42" s="41">
        <f t="shared" si="5"/>
        <v>-0.2631702043908466</v>
      </c>
      <c r="L42" s="42"/>
    </row>
    <row r="43" spans="1:12" x14ac:dyDescent="0.25">
      <c r="B43" s="280"/>
      <c r="C43" s="287"/>
      <c r="D43" s="32" t="s">
        <v>34</v>
      </c>
      <c r="E43" s="43" t="str">
        <f>IFERROR(E40/E34,"-")</f>
        <v>-</v>
      </c>
      <c r="F43" s="43" t="str">
        <f t="shared" ref="F43:I43" si="7">IFERROR(F40/F34,"-")</f>
        <v>-</v>
      </c>
      <c r="G43" s="43" t="str">
        <f t="shared" si="7"/>
        <v>-</v>
      </c>
      <c r="H43" s="43" t="str">
        <f t="shared" si="7"/>
        <v>-</v>
      </c>
      <c r="I43" s="43" t="str">
        <f t="shared" si="7"/>
        <v>-</v>
      </c>
      <c r="J43" s="34" t="str">
        <f>IFERROR(I43/H43-1,"-")</f>
        <v>-</v>
      </c>
      <c r="K43" s="33" t="str">
        <f>IFERROR(I43-H43,"-")</f>
        <v>-</v>
      </c>
      <c r="L43" s="56"/>
    </row>
    <row r="44" spans="1:12" x14ac:dyDescent="0.25">
      <c r="A44" s="57"/>
      <c r="B44" s="280"/>
      <c r="C44" s="288" t="s">
        <v>36</v>
      </c>
      <c r="D44" s="15" t="s">
        <v>32</v>
      </c>
      <c r="E44" s="58">
        <v>0.30547666388840261</v>
      </c>
      <c r="F44" s="58">
        <v>0.54874580107688153</v>
      </c>
      <c r="G44" s="58">
        <v>0.57449239917330508</v>
      </c>
      <c r="H44" s="58">
        <v>0.59820127698629644</v>
      </c>
      <c r="I44" s="58">
        <v>0.62212749459165728</v>
      </c>
      <c r="J44" s="58">
        <f t="shared" si="4"/>
        <v>3.9996935021435753E-2</v>
      </c>
      <c r="K44" s="44">
        <f>(I44-H44)*100</f>
        <v>2.3926217605360844</v>
      </c>
      <c r="L44" s="18"/>
    </row>
    <row r="45" spans="1:12" x14ac:dyDescent="0.25">
      <c r="B45" s="280"/>
      <c r="C45" s="289"/>
      <c r="D45" s="19" t="s">
        <v>33</v>
      </c>
      <c r="E45" s="59">
        <v>0.30547666388840261</v>
      </c>
      <c r="F45" s="59">
        <v>0.54874580107688153</v>
      </c>
      <c r="G45" s="59">
        <v>0.57449239917330508</v>
      </c>
      <c r="H45" s="59">
        <v>0.59820127698629644</v>
      </c>
      <c r="I45" s="59">
        <v>0.62212749459165728</v>
      </c>
      <c r="J45" s="59">
        <f t="shared" si="4"/>
        <v>3.9996935021435753E-2</v>
      </c>
      <c r="K45" s="46">
        <f>(I45-H45)*100</f>
        <v>2.3926217605360844</v>
      </c>
      <c r="L45" s="22"/>
    </row>
    <row r="46" spans="1:12" x14ac:dyDescent="0.25">
      <c r="B46" s="280"/>
      <c r="C46" s="290"/>
      <c r="D46" s="23" t="s">
        <v>34</v>
      </c>
      <c r="E46" s="60" t="s">
        <v>229</v>
      </c>
      <c r="F46" s="60" t="s">
        <v>229</v>
      </c>
      <c r="G46" s="60" t="s">
        <v>229</v>
      </c>
      <c r="H46" s="60" t="s">
        <v>229</v>
      </c>
      <c r="I46" s="60" t="s">
        <v>229</v>
      </c>
      <c r="J46" s="25" t="str">
        <f>IFERROR(I46/H46-1,"-")</f>
        <v>-</v>
      </c>
      <c r="K46" s="24" t="str">
        <f>IFERROR(I46-H46,"-")</f>
        <v>-</v>
      </c>
      <c r="L46" s="47"/>
    </row>
    <row r="47" spans="1:12" x14ac:dyDescent="0.25">
      <c r="B47" s="280"/>
      <c r="C47" s="45"/>
      <c r="D47" s="19"/>
      <c r="E47" s="61"/>
      <c r="F47" s="61"/>
      <c r="G47" s="61"/>
      <c r="H47" s="61"/>
      <c r="I47" s="61"/>
      <c r="J47" s="62"/>
      <c r="K47" s="51"/>
      <c r="L47" s="63"/>
    </row>
    <row r="48" spans="1:12" x14ac:dyDescent="0.25">
      <c r="B48" s="280"/>
      <c r="C48" s="45"/>
      <c r="D48" s="19"/>
      <c r="E48" s="61"/>
      <c r="F48" s="61"/>
      <c r="G48" s="61"/>
      <c r="H48" s="61"/>
      <c r="I48" s="61"/>
      <c r="J48" s="62"/>
      <c r="K48" s="51"/>
      <c r="L48" s="63"/>
    </row>
    <row r="49" spans="2:12" x14ac:dyDescent="0.25">
      <c r="B49" s="280"/>
      <c r="C49" s="291" t="s">
        <v>39</v>
      </c>
      <c r="D49" s="26" t="s">
        <v>32</v>
      </c>
      <c r="E49" s="52">
        <v>2110</v>
      </c>
      <c r="F49" s="52">
        <v>2596.1666666666665</v>
      </c>
      <c r="G49" s="52">
        <v>2828</v>
      </c>
      <c r="H49" s="52">
        <v>2771.8333333333335</v>
      </c>
      <c r="I49" s="52">
        <v>2679</v>
      </c>
      <c r="J49" s="36">
        <f>I49/H49-1</f>
        <v>-3.349167217846194E-2</v>
      </c>
      <c r="K49" s="27">
        <f>I49-H49</f>
        <v>-92.833333333333485</v>
      </c>
      <c r="L49" s="38">
        <f>I49/$I$22</f>
        <v>1</v>
      </c>
    </row>
    <row r="50" spans="2:12" x14ac:dyDescent="0.25">
      <c r="B50" s="280"/>
      <c r="C50" s="286"/>
      <c r="D50" s="4" t="s">
        <v>33</v>
      </c>
      <c r="E50" s="53">
        <v>2110</v>
      </c>
      <c r="F50" s="53">
        <v>2596.1666666666665</v>
      </c>
      <c r="G50" s="53">
        <v>2828</v>
      </c>
      <c r="H50" s="53">
        <v>2771.8333333333335</v>
      </c>
      <c r="I50" s="53">
        <v>2679</v>
      </c>
      <c r="J50" s="40">
        <f>I50/H50-1</f>
        <v>-3.349167217846194E-2</v>
      </c>
      <c r="K50" s="29">
        <f>I50-H50</f>
        <v>-92.833333333333485</v>
      </c>
      <c r="L50" s="42">
        <f>I50/$I$22</f>
        <v>1</v>
      </c>
    </row>
    <row r="51" spans="2:12" x14ac:dyDescent="0.25">
      <c r="B51" s="281"/>
      <c r="C51" s="287"/>
      <c r="D51" s="32" t="s">
        <v>34</v>
      </c>
      <c r="E51" s="33" t="e">
        <v>#REF!</v>
      </c>
      <c r="F51" s="33" t="e">
        <v>#REF!</v>
      </c>
      <c r="G51" s="33" t="e">
        <v>#REF!</v>
      </c>
      <c r="H51" s="33" t="e">
        <v>#REF!</v>
      </c>
      <c r="I51" s="33" t="e">
        <v>#REF!</v>
      </c>
      <c r="J51" s="34" t="str">
        <f>IFERROR(I51/H51-1,"-")</f>
        <v>-</v>
      </c>
      <c r="K51" s="33" t="str">
        <f>IFERROR(I51-H51,"-")</f>
        <v>-</v>
      </c>
      <c r="L51" s="34" t="str">
        <f>IFERROR(I51/I49,"-")</f>
        <v>-</v>
      </c>
    </row>
    <row r="52" spans="2:12" ht="6" customHeight="1" x14ac:dyDescent="0.25">
      <c r="B52" s="294"/>
      <c r="C52" s="294"/>
      <c r="D52" s="294"/>
      <c r="E52" s="294"/>
      <c r="F52" s="294"/>
      <c r="G52" s="294"/>
      <c r="H52" s="294"/>
      <c r="I52" s="294"/>
      <c r="J52" s="294"/>
      <c r="K52" s="294"/>
      <c r="L52" s="48"/>
    </row>
    <row r="53" spans="2:12" ht="28.5" customHeight="1" x14ac:dyDescent="0.25">
      <c r="B53" s="295" t="s">
        <v>40</v>
      </c>
      <c r="C53" s="296"/>
      <c r="D53" s="296"/>
      <c r="E53" s="296"/>
      <c r="F53" s="296"/>
      <c r="G53" s="296"/>
      <c r="H53" s="296"/>
      <c r="I53" s="296"/>
      <c r="J53" s="296"/>
      <c r="K53" s="296"/>
    </row>
    <row r="54" spans="2:12" x14ac:dyDescent="0.25">
      <c r="B54" s="64"/>
    </row>
    <row r="56" spans="2:12" ht="21.75" thickBot="1" x14ac:dyDescent="0.3">
      <c r="B56" s="278" t="s">
        <v>223</v>
      </c>
      <c r="C56" s="278"/>
      <c r="D56" s="278"/>
      <c r="E56" s="278"/>
      <c r="F56" s="278"/>
      <c r="G56" s="278"/>
      <c r="H56" s="278"/>
      <c r="I56" s="278"/>
      <c r="J56" s="278"/>
      <c r="K56" s="278"/>
      <c r="L56" s="12"/>
    </row>
    <row r="57" spans="2:12" ht="15.75" thickBot="1" x14ac:dyDescent="0.3"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</row>
    <row r="58" spans="2:12" x14ac:dyDescent="0.25">
      <c r="B58" s="4"/>
      <c r="C58" s="4"/>
      <c r="D58" s="4"/>
      <c r="E58" s="14">
        <v>2020</v>
      </c>
      <c r="F58" s="14">
        <v>2021</v>
      </c>
      <c r="G58" s="14">
        <v>2022</v>
      </c>
      <c r="H58" s="14">
        <v>2023</v>
      </c>
      <c r="I58" s="14">
        <v>2024</v>
      </c>
      <c r="J58" s="14" t="str">
        <f>CONCATENATE("var. ",RIGHT(I58,2),"/",RIGHT(H58,2))</f>
        <v>var. 24/23</v>
      </c>
      <c r="K58" s="14" t="str">
        <f>CONCATENATE("dif. ",RIGHT(I58,2),"/",RIGHT(H58,2))</f>
        <v>dif. 24/23</v>
      </c>
      <c r="L58" s="14" t="str">
        <f>CONCATENATE("cuota ",I58)</f>
        <v>cuota 2024</v>
      </c>
    </row>
    <row r="59" spans="2:12" x14ac:dyDescent="0.25">
      <c r="B59" s="280"/>
      <c r="C59" s="283"/>
      <c r="D59" s="19" t="s">
        <v>33</v>
      </c>
      <c r="E59" s="51">
        <v>103516</v>
      </c>
      <c r="F59" s="51">
        <v>164258</v>
      </c>
      <c r="G59" s="51">
        <v>229131</v>
      </c>
      <c r="H59" s="51">
        <v>239109</v>
      </c>
      <c r="I59" s="51">
        <v>250871</v>
      </c>
      <c r="J59" s="21">
        <f t="shared" ref="J59:J74" si="8">I59/H59-1</f>
        <v>4.9190954752853289E-2</v>
      </c>
      <c r="K59" s="20">
        <f t="shared" ref="K59:K74" si="9">I59-H59</f>
        <v>11762</v>
      </c>
      <c r="L59" s="21" t="e">
        <f>I59/#REF!</f>
        <v>#REF!</v>
      </c>
    </row>
    <row r="60" spans="2:12" x14ac:dyDescent="0.25">
      <c r="B60" s="280"/>
      <c r="C60" s="284"/>
      <c r="D60" s="23" t="s">
        <v>34</v>
      </c>
      <c r="E60" s="24" t="s">
        <v>229</v>
      </c>
      <c r="F60" s="24" t="s">
        <v>229</v>
      </c>
      <c r="G60" s="24" t="s">
        <v>229</v>
      </c>
      <c r="H60" s="24" t="s">
        <v>229</v>
      </c>
      <c r="I60" s="24" t="s">
        <v>229</v>
      </c>
      <c r="J60" s="25" t="str">
        <f>IFERROR(I60/H60-1,"-")</f>
        <v>-</v>
      </c>
      <c r="K60" s="24" t="str">
        <f>IFERROR(I60-H60,"-")</f>
        <v>-</v>
      </c>
      <c r="L60" s="25" t="str">
        <f>IFERROR(I60/#REF!,"-")</f>
        <v>-</v>
      </c>
    </row>
    <row r="61" spans="2:12" x14ac:dyDescent="0.25">
      <c r="B61" s="280"/>
      <c r="C61" s="285" t="s">
        <v>35</v>
      </c>
      <c r="D61" s="26" t="s">
        <v>32</v>
      </c>
      <c r="E61" s="52">
        <v>103516</v>
      </c>
      <c r="F61" s="52">
        <v>164258</v>
      </c>
      <c r="G61" s="52">
        <v>229131</v>
      </c>
      <c r="H61" s="52">
        <v>239109</v>
      </c>
      <c r="I61" s="52">
        <v>250871</v>
      </c>
      <c r="J61" s="36">
        <f t="shared" si="8"/>
        <v>4.9190954752853289E-2</v>
      </c>
      <c r="K61" s="52">
        <f t="shared" si="9"/>
        <v>11762</v>
      </c>
      <c r="L61" s="36">
        <f>I61/$I$61</f>
        <v>1</v>
      </c>
    </row>
    <row r="62" spans="2:12" x14ac:dyDescent="0.25">
      <c r="B62" s="280"/>
      <c r="C62" s="286"/>
      <c r="D62" s="4" t="s">
        <v>33</v>
      </c>
      <c r="E62" s="53">
        <v>103516</v>
      </c>
      <c r="F62" s="53">
        <v>164258</v>
      </c>
      <c r="G62" s="53">
        <v>229131</v>
      </c>
      <c r="H62" s="53">
        <v>239109</v>
      </c>
      <c r="I62" s="53">
        <v>250871</v>
      </c>
      <c r="J62" s="40">
        <f t="shared" si="8"/>
        <v>4.9190954752853289E-2</v>
      </c>
      <c r="K62" s="53">
        <f t="shared" si="9"/>
        <v>11762</v>
      </c>
      <c r="L62" s="40">
        <f t="shared" ref="L62" si="10">I62/$I$61</f>
        <v>1</v>
      </c>
    </row>
    <row r="63" spans="2:12" x14ac:dyDescent="0.25">
      <c r="B63" s="280"/>
      <c r="C63" s="287"/>
      <c r="D63" s="32" t="s">
        <v>34</v>
      </c>
      <c r="E63" s="33" t="s">
        <v>229</v>
      </c>
      <c r="F63" s="33" t="s">
        <v>229</v>
      </c>
      <c r="G63" s="33" t="s">
        <v>229</v>
      </c>
      <c r="H63" s="33" t="s">
        <v>229</v>
      </c>
      <c r="I63" s="33" t="s">
        <v>229</v>
      </c>
      <c r="J63" s="34" t="str">
        <f>IFERROR(I63/H63-1,"-")</f>
        <v>-</v>
      </c>
      <c r="K63" s="33" t="str">
        <f>IFERROR(I63-H63,"-")</f>
        <v>-</v>
      </c>
      <c r="L63" s="65" t="str">
        <f>IFERROR(I63/I61,"-")</f>
        <v>-</v>
      </c>
    </row>
    <row r="64" spans="2:12" x14ac:dyDescent="0.25">
      <c r="B64" s="280"/>
      <c r="C64" s="282" t="s">
        <v>21</v>
      </c>
      <c r="D64" s="15" t="s">
        <v>32</v>
      </c>
      <c r="E64" s="50">
        <v>216673</v>
      </c>
      <c r="F64" s="50">
        <v>359169</v>
      </c>
      <c r="G64" s="50">
        <v>543499</v>
      </c>
      <c r="H64" s="50">
        <v>576462</v>
      </c>
      <c r="I64" s="50">
        <v>584273</v>
      </c>
      <c r="J64" s="17">
        <f t="shared" si="8"/>
        <v>1.3549895743344642E-2</v>
      </c>
      <c r="K64" s="16">
        <f t="shared" si="9"/>
        <v>7811</v>
      </c>
      <c r="L64" s="17">
        <f>I64/$I$64</f>
        <v>1</v>
      </c>
    </row>
    <row r="65" spans="2:12" x14ac:dyDescent="0.25">
      <c r="B65" s="280"/>
      <c r="C65" s="283"/>
      <c r="D65" s="19" t="s">
        <v>33</v>
      </c>
      <c r="E65" s="51">
        <v>216673</v>
      </c>
      <c r="F65" s="51">
        <v>359169</v>
      </c>
      <c r="G65" s="51">
        <v>543499</v>
      </c>
      <c r="H65" s="51">
        <v>576462</v>
      </c>
      <c r="I65" s="51">
        <v>584273</v>
      </c>
      <c r="J65" s="21">
        <f t="shared" si="8"/>
        <v>1.3549895743344642E-2</v>
      </c>
      <c r="K65" s="20">
        <f t="shared" si="9"/>
        <v>7811</v>
      </c>
      <c r="L65" s="21">
        <f t="shared" ref="L65" si="11">I65/$I$64</f>
        <v>1</v>
      </c>
    </row>
    <row r="66" spans="2:12" x14ac:dyDescent="0.25">
      <c r="B66" s="280"/>
      <c r="C66" s="284"/>
      <c r="D66" s="23" t="s">
        <v>34</v>
      </c>
      <c r="E66" s="24" t="s">
        <v>229</v>
      </c>
      <c r="F66" s="24" t="s">
        <v>229</v>
      </c>
      <c r="G66" s="24" t="s">
        <v>229</v>
      </c>
      <c r="H66" s="24" t="s">
        <v>229</v>
      </c>
      <c r="I66" s="24" t="s">
        <v>229</v>
      </c>
      <c r="J66" s="25" t="str">
        <f>IFERROR(I66/H66-1,"-")</f>
        <v>-</v>
      </c>
      <c r="K66" s="24" t="str">
        <f>IFERROR(I66-H66,"-")</f>
        <v>-</v>
      </c>
      <c r="L66" s="25" t="str">
        <f>IFERROR(I66/I64,"-")</f>
        <v>-</v>
      </c>
    </row>
    <row r="67" spans="2:12" x14ac:dyDescent="0.25">
      <c r="B67" s="280"/>
      <c r="C67" s="285" t="s">
        <v>22</v>
      </c>
      <c r="D67" s="26" t="s">
        <v>32</v>
      </c>
      <c r="E67" s="54">
        <v>2.0931353607171839</v>
      </c>
      <c r="F67" s="54">
        <v>2.1866149593931499</v>
      </c>
      <c r="G67" s="54">
        <v>2.3720011696365835</v>
      </c>
      <c r="H67" s="54">
        <v>2.410875374829053</v>
      </c>
      <c r="I67" s="54">
        <v>2.328977841201255</v>
      </c>
      <c r="J67" s="36">
        <f t="shared" si="8"/>
        <v>-3.3970040294432513E-2</v>
      </c>
      <c r="K67" s="37">
        <f t="shared" si="9"/>
        <v>-8.1897533627798058E-2</v>
      </c>
      <c r="L67" s="36"/>
    </row>
    <row r="68" spans="2:12" x14ac:dyDescent="0.25">
      <c r="B68" s="280"/>
      <c r="C68" s="286"/>
      <c r="D68" s="4" t="s">
        <v>33</v>
      </c>
      <c r="E68" s="55">
        <f t="shared" ref="E68:I68" si="12">E65/E59</f>
        <v>2.0931353607171839</v>
      </c>
      <c r="F68" s="55">
        <f t="shared" si="12"/>
        <v>2.1866149593931499</v>
      </c>
      <c r="G68" s="55">
        <f t="shared" si="12"/>
        <v>2.3720011696365835</v>
      </c>
      <c r="H68" s="55">
        <f t="shared" si="12"/>
        <v>2.410875374829053</v>
      </c>
      <c r="I68" s="55">
        <f t="shared" si="12"/>
        <v>2.328977841201255</v>
      </c>
      <c r="J68" s="40">
        <f t="shared" si="8"/>
        <v>-3.3970040294432513E-2</v>
      </c>
      <c r="K68" s="41">
        <f t="shared" si="9"/>
        <v>-8.1897533627798058E-2</v>
      </c>
      <c r="L68" s="40"/>
    </row>
    <row r="69" spans="2:12" x14ac:dyDescent="0.25">
      <c r="B69" s="280"/>
      <c r="C69" s="287"/>
      <c r="D69" s="32" t="s">
        <v>34</v>
      </c>
      <c r="E69" s="43" t="str">
        <f>IFERROR(E66/E60,"-")</f>
        <v>-</v>
      </c>
      <c r="F69" s="43" t="str">
        <f t="shared" ref="F69:I69" si="13">IFERROR(F66/F60,"-")</f>
        <v>-</v>
      </c>
      <c r="G69" s="43" t="str">
        <f t="shared" si="13"/>
        <v>-</v>
      </c>
      <c r="H69" s="43" t="str">
        <f t="shared" si="13"/>
        <v>-</v>
      </c>
      <c r="I69" s="43" t="str">
        <f t="shared" si="13"/>
        <v>-</v>
      </c>
      <c r="J69" s="34" t="str">
        <f>IFERROR(I69/H69-1,"-")</f>
        <v>-</v>
      </c>
      <c r="K69" s="33" t="str">
        <f>IFERROR(I69-H69,"-")</f>
        <v>-</v>
      </c>
      <c r="L69" s="65" t="str">
        <f>IFERROR(I69/I67,"-")</f>
        <v>-</v>
      </c>
    </row>
    <row r="70" spans="2:12" x14ac:dyDescent="0.25">
      <c r="B70" s="280"/>
      <c r="C70" s="288" t="s">
        <v>36</v>
      </c>
      <c r="D70" s="15" t="s">
        <v>32</v>
      </c>
      <c r="E70" s="58">
        <v>0.43917828766012645</v>
      </c>
      <c r="F70" s="58">
        <v>0.43287194104141685</v>
      </c>
      <c r="G70" s="58">
        <v>0.55540181632567553</v>
      </c>
      <c r="H70" s="58">
        <v>0.56942335787332776</v>
      </c>
      <c r="I70" s="58">
        <v>0.58812285219043858</v>
      </c>
      <c r="J70" s="58">
        <f t="shared" si="8"/>
        <v>3.283935240547442E-2</v>
      </c>
      <c r="K70" s="44">
        <f t="shared" si="9"/>
        <v>1.8699494317110821E-2</v>
      </c>
      <c r="L70" s="17"/>
    </row>
    <row r="71" spans="2:12" x14ac:dyDescent="0.25">
      <c r="B71" s="280"/>
      <c r="C71" s="289"/>
      <c r="D71" s="19" t="s">
        <v>33</v>
      </c>
      <c r="E71" s="59">
        <v>0.43917828766012645</v>
      </c>
      <c r="F71" s="59">
        <v>0.43287194104141685</v>
      </c>
      <c r="G71" s="59">
        <v>0.55540181632567553</v>
      </c>
      <c r="H71" s="59">
        <v>0.56942335787332776</v>
      </c>
      <c r="I71" s="59">
        <v>0.58812285219043858</v>
      </c>
      <c r="J71" s="59">
        <f t="shared" si="8"/>
        <v>3.283935240547442E-2</v>
      </c>
      <c r="K71" s="46">
        <f t="shared" si="9"/>
        <v>1.8699494317110821E-2</v>
      </c>
      <c r="L71" s="21"/>
    </row>
    <row r="72" spans="2:12" x14ac:dyDescent="0.25">
      <c r="B72" s="280"/>
      <c r="C72" s="290"/>
      <c r="D72" s="23" t="s">
        <v>34</v>
      </c>
      <c r="E72" s="60" t="s">
        <v>229</v>
      </c>
      <c r="F72" s="60" t="s">
        <v>229</v>
      </c>
      <c r="G72" s="60" t="s">
        <v>229</v>
      </c>
      <c r="H72" s="60" t="s">
        <v>229</v>
      </c>
      <c r="I72" s="60" t="s">
        <v>229</v>
      </c>
      <c r="J72" s="25" t="str">
        <f>IFERROR(I72/H72-1,"-")</f>
        <v>-</v>
      </c>
      <c r="K72" s="24" t="str">
        <f>IFERROR(I72-H72,"-")</f>
        <v>-</v>
      </c>
      <c r="L72" s="25" t="str">
        <f>IFERROR(I72/I70,"-")</f>
        <v>-</v>
      </c>
    </row>
    <row r="73" spans="2:12" x14ac:dyDescent="0.25">
      <c r="B73" s="280"/>
      <c r="C73" s="291" t="s">
        <v>41</v>
      </c>
      <c r="D73" s="26" t="s">
        <v>32</v>
      </c>
      <c r="E73" s="52">
        <v>1526</v>
      </c>
      <c r="F73" s="52">
        <v>2270</v>
      </c>
      <c r="G73" s="52">
        <v>2680</v>
      </c>
      <c r="H73" s="52">
        <v>2774</v>
      </c>
      <c r="I73" s="52">
        <v>2714</v>
      </c>
      <c r="J73" s="36">
        <f t="shared" si="8"/>
        <v>-2.1629416005767843E-2</v>
      </c>
      <c r="K73" s="27">
        <f t="shared" si="9"/>
        <v>-60</v>
      </c>
      <c r="L73" s="36">
        <f>I73/$I$73</f>
        <v>1</v>
      </c>
    </row>
    <row r="74" spans="2:12" x14ac:dyDescent="0.25">
      <c r="B74" s="280"/>
      <c r="C74" s="286"/>
      <c r="D74" s="4" t="s">
        <v>33</v>
      </c>
      <c r="E74" s="53">
        <v>1526</v>
      </c>
      <c r="F74" s="53">
        <v>2270</v>
      </c>
      <c r="G74" s="53">
        <v>2680</v>
      </c>
      <c r="H74" s="53">
        <v>2774</v>
      </c>
      <c r="I74" s="53">
        <v>2714</v>
      </c>
      <c r="J74" s="40">
        <f t="shared" si="8"/>
        <v>-2.1629416005767843E-2</v>
      </c>
      <c r="K74" s="29">
        <f t="shared" si="9"/>
        <v>-60</v>
      </c>
      <c r="L74" s="40">
        <f t="shared" ref="L74" si="14">I74/$I$73</f>
        <v>1</v>
      </c>
    </row>
    <row r="75" spans="2:12" x14ac:dyDescent="0.25">
      <c r="B75" s="281"/>
      <c r="C75" s="287"/>
      <c r="D75" s="32" t="s">
        <v>34</v>
      </c>
      <c r="E75" s="33">
        <v>0</v>
      </c>
      <c r="F75" s="33">
        <v>0</v>
      </c>
      <c r="G75" s="33">
        <v>0</v>
      </c>
      <c r="H75" s="33">
        <v>0</v>
      </c>
      <c r="I75" s="33">
        <v>0</v>
      </c>
      <c r="J75" s="34" t="str">
        <f>IFERROR(I75/H75-1,"-")</f>
        <v>-</v>
      </c>
      <c r="K75" s="33">
        <f>IFERROR(I75-H75,"-")</f>
        <v>0</v>
      </c>
      <c r="L75" s="65">
        <f>IFERROR(I75/I73,"-")</f>
        <v>0</v>
      </c>
    </row>
    <row r="76" spans="2:12" x14ac:dyDescent="0.25">
      <c r="B76" s="294"/>
      <c r="C76" s="294"/>
      <c r="D76" s="294"/>
      <c r="E76" s="294"/>
      <c r="F76" s="294"/>
      <c r="G76" s="294"/>
      <c r="H76" s="294"/>
      <c r="I76" s="294"/>
      <c r="J76" s="294"/>
      <c r="K76" s="294"/>
      <c r="L76" s="48"/>
    </row>
    <row r="77" spans="2:12" ht="27" customHeight="1" x14ac:dyDescent="0.25">
      <c r="B77" s="295" t="s">
        <v>38</v>
      </c>
      <c r="C77" s="296"/>
      <c r="D77" s="296"/>
      <c r="E77" s="296"/>
      <c r="F77" s="296"/>
      <c r="G77" s="296"/>
      <c r="H77" s="296"/>
      <c r="I77" s="296"/>
      <c r="J77" s="296"/>
      <c r="K77" s="296"/>
    </row>
  </sheetData>
  <mergeCells count="30">
    <mergeCell ref="B76:K76"/>
    <mergeCell ref="B77:K77"/>
    <mergeCell ref="B52:K52"/>
    <mergeCell ref="B53:K53"/>
    <mergeCell ref="B56:K56"/>
    <mergeCell ref="B59:B75"/>
    <mergeCell ref="C59:C60"/>
    <mergeCell ref="C61:C63"/>
    <mergeCell ref="C64:C66"/>
    <mergeCell ref="C67:C69"/>
    <mergeCell ref="C70:C72"/>
    <mergeCell ref="C73:C75"/>
    <mergeCell ref="B25:K25"/>
    <mergeCell ref="B26:K26"/>
    <mergeCell ref="B29:K29"/>
    <mergeCell ref="B32:B51"/>
    <mergeCell ref="C32:C34"/>
    <mergeCell ref="C35:C37"/>
    <mergeCell ref="C38:C40"/>
    <mergeCell ref="C41:C43"/>
    <mergeCell ref="C44:C46"/>
    <mergeCell ref="C49:C51"/>
    <mergeCell ref="B4:K4"/>
    <mergeCell ref="B7:B24"/>
    <mergeCell ref="C7:C9"/>
    <mergeCell ref="C10:C12"/>
    <mergeCell ref="C13:C15"/>
    <mergeCell ref="C16:C18"/>
    <mergeCell ref="C19:C21"/>
    <mergeCell ref="C22:C2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E5193-FDBB-43F1-A2AE-99CBBF24F36D}">
  <sheetPr>
    <tabColor rgb="FFFFC00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3AB751-CA1B-4B3F-A605-5CC10D7A7BB4}">
  <sheetPr>
    <tabColor rgb="FFFFC000"/>
  </sheetPr>
  <dimension ref="A1:V164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7" width="13.140625" customWidth="1"/>
    <col min="8" max="9" width="13.7109375" customWidth="1"/>
    <col min="11" max="18" width="11.42578125" hidden="1" customWidth="1"/>
  </cols>
  <sheetData>
    <row r="1" spans="1:18" ht="42.75" customHeight="1" x14ac:dyDescent="0.25"/>
    <row r="5" spans="1:18" ht="42" customHeight="1" thickBot="1" x14ac:dyDescent="0.3">
      <c r="B5" s="278" t="str">
        <f>CONCATENATE("Viajeros alojados en los establecimientos alojativos de según lugar de residencia y municipio de alojamiento (hotel + apartamento)")</f>
        <v>Viajeros alojados en los establecimientos alojativos de según lugar de residencia y municipio de alojamiento (hotel + apartamento)</v>
      </c>
      <c r="C5" s="278"/>
      <c r="D5" s="278"/>
      <c r="E5" s="278"/>
      <c r="F5" s="278"/>
      <c r="G5" s="278"/>
      <c r="H5" s="278"/>
      <c r="I5" s="278"/>
      <c r="K5" s="278" t="s">
        <v>267</v>
      </c>
      <c r="L5" s="278"/>
      <c r="M5" s="278"/>
      <c r="N5" s="278"/>
      <c r="O5" s="278"/>
      <c r="P5" s="278"/>
      <c r="Q5" s="278"/>
      <c r="R5" s="278"/>
    </row>
    <row r="6" spans="1:18" ht="6" customHeight="1" x14ac:dyDescent="0.25"/>
    <row r="7" spans="1:18" ht="15.75" x14ac:dyDescent="0.25">
      <c r="B7" s="146"/>
      <c r="C7" s="311" t="s">
        <v>45</v>
      </c>
      <c r="D7" s="312"/>
      <c r="E7" s="312"/>
      <c r="F7" s="312"/>
      <c r="G7" s="312"/>
      <c r="H7" s="312"/>
      <c r="I7" s="312"/>
    </row>
    <row r="8" spans="1:18" s="147" customFormat="1" ht="72" customHeight="1" x14ac:dyDescent="0.25">
      <c r="A8"/>
      <c r="B8" s="187"/>
      <c r="C8" s="173" t="s">
        <v>224</v>
      </c>
      <c r="D8" s="173" t="s">
        <v>225</v>
      </c>
      <c r="E8" s="173" t="s">
        <v>226</v>
      </c>
      <c r="F8" s="173" t="s">
        <v>227</v>
      </c>
      <c r="G8" s="173" t="s">
        <v>228</v>
      </c>
      <c r="H8" s="174" t="str">
        <f>CONCATENATE("var. ",RIGHT(G8,2),"/",RIGHT(F8,2))</f>
        <v>var. 25/24</v>
      </c>
      <c r="I8" s="174" t="str">
        <f>CONCATENATE("Cuota s/ total lugares de residencia ",RIGHT(G8,4))</f>
        <v>Cuota s/ total lugares de residencia 2025</v>
      </c>
      <c r="K8" s="187"/>
      <c r="L8" s="173" t="s">
        <v>224</v>
      </c>
      <c r="M8" s="173" t="s">
        <v>225</v>
      </c>
      <c r="N8" s="173" t="s">
        <v>226</v>
      </c>
      <c r="O8" s="173" t="s">
        <v>227</v>
      </c>
      <c r="P8" s="173" t="s">
        <v>228</v>
      </c>
      <c r="Q8" s="174" t="str">
        <f>CONCATENATE("var. ",RIGHT(P8,2),"/",RIGHT(O8,2))</f>
        <v>var. 25/24</v>
      </c>
      <c r="R8" s="174" t="str">
        <f>CONCATENATE("Cuota s/ total lugares de residencia ",RIGHT(P8,4))</f>
        <v>Cuota s/ total lugares de residencia 2025</v>
      </c>
    </row>
    <row r="9" spans="1:18" x14ac:dyDescent="0.25">
      <c r="B9" s="153" t="s">
        <v>45</v>
      </c>
      <c r="C9" s="154"/>
      <c r="D9" s="154"/>
      <c r="E9" s="154"/>
      <c r="F9" s="154"/>
      <c r="G9" s="154"/>
      <c r="H9" s="155"/>
      <c r="I9" s="155"/>
      <c r="K9" s="156" t="s">
        <v>53</v>
      </c>
      <c r="L9" s="175"/>
      <c r="M9" s="175"/>
      <c r="N9" s="175"/>
      <c r="O9" s="175"/>
      <c r="P9" s="175"/>
      <c r="Q9" s="176"/>
      <c r="R9" s="176"/>
    </row>
    <row r="10" spans="1:18" x14ac:dyDescent="0.25">
      <c r="B10" s="157" t="s">
        <v>70</v>
      </c>
      <c r="C10" s="177">
        <v>154087</v>
      </c>
      <c r="D10" s="177">
        <v>447309</v>
      </c>
      <c r="E10" s="177">
        <v>500292</v>
      </c>
      <c r="F10" s="177">
        <v>521775</v>
      </c>
      <c r="G10" s="177">
        <v>509699</v>
      </c>
      <c r="H10" s="178">
        <f t="shared" ref="H10:H22" si="0">IFERROR(G10/F10-1,"-")</f>
        <v>-2.3144075511475237E-2</v>
      </c>
      <c r="I10" s="178">
        <f t="shared" ref="I10:I22" si="1">G10/G$10</f>
        <v>1</v>
      </c>
      <c r="K10" s="157" t="s">
        <v>70</v>
      </c>
      <c r="L10" s="177">
        <v>13942</v>
      </c>
      <c r="M10" s="177">
        <v>18300</v>
      </c>
      <c r="N10" s="177">
        <v>18588</v>
      </c>
      <c r="O10" s="177">
        <v>20189</v>
      </c>
      <c r="P10" s="177">
        <v>21402</v>
      </c>
      <c r="Q10" s="178">
        <f t="shared" ref="Q10:Q22" si="2">IFERROR(P10/O10-1,"-")</f>
        <v>6.0082222992718703E-2</v>
      </c>
      <c r="R10" s="178">
        <f t="shared" ref="R10:R22" si="3">P10/P$10</f>
        <v>1</v>
      </c>
    </row>
    <row r="11" spans="1:18" x14ac:dyDescent="0.25">
      <c r="B11" s="160" t="s">
        <v>99</v>
      </c>
      <c r="C11" s="161">
        <v>81270</v>
      </c>
      <c r="D11" s="161">
        <v>108115</v>
      </c>
      <c r="E11" s="161">
        <v>125554</v>
      </c>
      <c r="F11" s="161">
        <v>125566</v>
      </c>
      <c r="G11" s="161">
        <v>114333</v>
      </c>
      <c r="H11" s="162">
        <f t="shared" si="0"/>
        <v>-8.945892996511795E-2</v>
      </c>
      <c r="I11" s="162">
        <f t="shared" si="1"/>
        <v>0.22431474262260667</v>
      </c>
      <c r="J11" s="81"/>
      <c r="K11" s="160" t="s">
        <v>99</v>
      </c>
      <c r="L11" s="161">
        <v>10189</v>
      </c>
      <c r="M11" s="161">
        <v>12819</v>
      </c>
      <c r="N11" s="161">
        <v>13450</v>
      </c>
      <c r="O11" s="161">
        <v>15322</v>
      </c>
      <c r="P11" s="161">
        <v>16942</v>
      </c>
      <c r="Q11" s="162">
        <f t="shared" si="2"/>
        <v>0.10573032241221769</v>
      </c>
      <c r="R11" s="162">
        <f t="shared" si="3"/>
        <v>0.79160826091019532</v>
      </c>
    </row>
    <row r="12" spans="1:18" x14ac:dyDescent="0.25">
      <c r="B12" s="164" t="s">
        <v>105</v>
      </c>
      <c r="C12" s="165">
        <v>44358</v>
      </c>
      <c r="D12" s="165">
        <v>40539</v>
      </c>
      <c r="E12" s="165">
        <v>53568</v>
      </c>
      <c r="F12" s="165">
        <v>53606</v>
      </c>
      <c r="G12" s="165">
        <v>42765</v>
      </c>
      <c r="H12" s="166">
        <f t="shared" si="0"/>
        <v>-0.20223482445994856</v>
      </c>
      <c r="I12" s="166">
        <f t="shared" si="1"/>
        <v>8.3902460079380181E-2</v>
      </c>
      <c r="J12" s="81"/>
      <c r="K12" s="164" t="s">
        <v>105</v>
      </c>
      <c r="L12" s="165">
        <v>5618</v>
      </c>
      <c r="M12" s="165">
        <v>7013</v>
      </c>
      <c r="N12" s="165">
        <v>6510</v>
      </c>
      <c r="O12" s="165">
        <v>7586</v>
      </c>
      <c r="P12" s="165">
        <v>9024</v>
      </c>
      <c r="Q12" s="166">
        <f t="shared" si="2"/>
        <v>0.18955971526496174</v>
      </c>
      <c r="R12" s="166">
        <f t="shared" si="3"/>
        <v>0.42164283711802636</v>
      </c>
    </row>
    <row r="13" spans="1:18" x14ac:dyDescent="0.25">
      <c r="B13" s="164" t="s">
        <v>102</v>
      </c>
      <c r="C13" s="165">
        <v>36912</v>
      </c>
      <c r="D13" s="165">
        <v>67576</v>
      </c>
      <c r="E13" s="165">
        <v>71986</v>
      </c>
      <c r="F13" s="165">
        <v>71960</v>
      </c>
      <c r="G13" s="165">
        <v>71568</v>
      </c>
      <c r="H13" s="166">
        <f t="shared" si="0"/>
        <v>-5.4474708171206032E-3</v>
      </c>
      <c r="I13" s="166">
        <f t="shared" si="1"/>
        <v>0.14041228254322649</v>
      </c>
      <c r="J13" s="81"/>
      <c r="K13" s="164" t="s">
        <v>102</v>
      </c>
      <c r="L13" s="165">
        <v>4571</v>
      </c>
      <c r="M13" s="165">
        <v>5806</v>
      </c>
      <c r="N13" s="165">
        <v>6940</v>
      </c>
      <c r="O13" s="165">
        <v>7736</v>
      </c>
      <c r="P13" s="165">
        <v>7918</v>
      </c>
      <c r="Q13" s="166">
        <f t="shared" si="2"/>
        <v>2.3526370217166415E-2</v>
      </c>
      <c r="R13" s="166">
        <f>P13/P$10</f>
        <v>0.36996542379216896</v>
      </c>
    </row>
    <row r="14" spans="1:18" x14ac:dyDescent="0.25">
      <c r="B14" s="160" t="s">
        <v>109</v>
      </c>
      <c r="C14" s="161">
        <v>72817</v>
      </c>
      <c r="D14" s="161">
        <v>339194</v>
      </c>
      <c r="E14" s="161">
        <v>374738</v>
      </c>
      <c r="F14" s="161">
        <v>396209</v>
      </c>
      <c r="G14" s="161">
        <v>395366</v>
      </c>
      <c r="H14" s="162">
        <f t="shared" si="0"/>
        <v>-2.1276649445115536E-3</v>
      </c>
      <c r="I14" s="162">
        <f t="shared" si="1"/>
        <v>0.77568525737739336</v>
      </c>
      <c r="J14" s="81"/>
      <c r="K14" s="160" t="s">
        <v>109</v>
      </c>
      <c r="L14" s="161">
        <v>3753</v>
      </c>
      <c r="M14" s="161">
        <v>5481</v>
      </c>
      <c r="N14" s="161">
        <v>5138</v>
      </c>
      <c r="O14" s="161">
        <v>4867</v>
      </c>
      <c r="P14" s="161">
        <v>4460</v>
      </c>
      <c r="Q14" s="162">
        <f t="shared" si="2"/>
        <v>-8.3624409287035184E-2</v>
      </c>
      <c r="R14" s="162">
        <f t="shared" si="3"/>
        <v>0.20839173908980468</v>
      </c>
    </row>
    <row r="15" spans="1:18" x14ac:dyDescent="0.25">
      <c r="B15" s="164" t="s">
        <v>112</v>
      </c>
      <c r="C15" s="165">
        <v>5816</v>
      </c>
      <c r="D15" s="165">
        <v>180845</v>
      </c>
      <c r="E15" s="165">
        <v>202660</v>
      </c>
      <c r="F15" s="165">
        <v>219612</v>
      </c>
      <c r="G15" s="165">
        <v>215915</v>
      </c>
      <c r="H15" s="166">
        <f t="shared" si="0"/>
        <v>-1.6834234923410407E-2</v>
      </c>
      <c r="I15" s="166">
        <f t="shared" si="1"/>
        <v>0.42361275968758033</v>
      </c>
      <c r="J15" s="81"/>
      <c r="K15" s="164" t="s">
        <v>112</v>
      </c>
      <c r="L15" s="165">
        <v>137</v>
      </c>
      <c r="M15" s="165">
        <v>546</v>
      </c>
      <c r="N15" s="165">
        <v>895</v>
      </c>
      <c r="O15" s="165">
        <v>709</v>
      </c>
      <c r="P15" s="165">
        <v>387</v>
      </c>
      <c r="Q15" s="166">
        <f t="shared" si="2"/>
        <v>-0.45416078984485186</v>
      </c>
      <c r="R15" s="166">
        <f t="shared" si="3"/>
        <v>1.8082422203532379E-2</v>
      </c>
    </row>
    <row r="16" spans="1:18" x14ac:dyDescent="0.25">
      <c r="B16" s="164" t="s">
        <v>115</v>
      </c>
      <c r="C16" s="165">
        <v>13556</v>
      </c>
      <c r="D16" s="165">
        <v>34731</v>
      </c>
      <c r="E16" s="165">
        <v>37067</v>
      </c>
      <c r="F16" s="165">
        <v>32973</v>
      </c>
      <c r="G16" s="165">
        <v>35571</v>
      </c>
      <c r="H16" s="166">
        <f t="shared" si="0"/>
        <v>7.8791738695296099E-2</v>
      </c>
      <c r="I16" s="166">
        <f t="shared" si="1"/>
        <v>6.9788247573567927E-2</v>
      </c>
      <c r="J16" s="81"/>
      <c r="K16" s="164" t="s">
        <v>115</v>
      </c>
      <c r="L16" s="165">
        <v>392</v>
      </c>
      <c r="M16" s="165">
        <v>366</v>
      </c>
      <c r="N16" s="165">
        <v>491</v>
      </c>
      <c r="O16" s="165">
        <v>441</v>
      </c>
      <c r="P16" s="165">
        <v>361</v>
      </c>
      <c r="Q16" s="166">
        <f t="shared" si="2"/>
        <v>-0.18140589569161003</v>
      </c>
      <c r="R16" s="166">
        <f t="shared" si="3"/>
        <v>1.6867582468928138E-2</v>
      </c>
    </row>
    <row r="17" spans="2:22" x14ac:dyDescent="0.25">
      <c r="B17" s="164" t="s">
        <v>118</v>
      </c>
      <c r="C17" s="165">
        <v>8694</v>
      </c>
      <c r="D17" s="165">
        <v>13469</v>
      </c>
      <c r="E17" s="165">
        <v>15055</v>
      </c>
      <c r="F17" s="165">
        <v>17117</v>
      </c>
      <c r="G17" s="165">
        <v>17192</v>
      </c>
      <c r="H17" s="166">
        <f t="shared" si="0"/>
        <v>4.381608926797842E-3</v>
      </c>
      <c r="I17" s="166">
        <f t="shared" si="1"/>
        <v>3.3729711064765674E-2</v>
      </c>
      <c r="J17" s="81"/>
      <c r="K17" s="164" t="s">
        <v>118</v>
      </c>
      <c r="L17" s="165">
        <v>427</v>
      </c>
      <c r="M17" s="165">
        <v>421</v>
      </c>
      <c r="N17" s="165">
        <v>481</v>
      </c>
      <c r="O17" s="165">
        <v>385</v>
      </c>
      <c r="P17" s="165">
        <v>421</v>
      </c>
      <c r="Q17" s="166">
        <f t="shared" si="2"/>
        <v>9.3506493506493538E-2</v>
      </c>
      <c r="R17" s="166">
        <f t="shared" si="3"/>
        <v>1.9671058779553312E-2</v>
      </c>
    </row>
    <row r="18" spans="2:22" x14ac:dyDescent="0.25">
      <c r="B18" s="164" t="s">
        <v>125</v>
      </c>
      <c r="C18" s="165">
        <v>6387</v>
      </c>
      <c r="D18" s="165">
        <v>14209</v>
      </c>
      <c r="E18" s="165">
        <v>13666</v>
      </c>
      <c r="F18" s="165">
        <v>14398</v>
      </c>
      <c r="G18" s="165">
        <v>12419</v>
      </c>
      <c r="H18" s="166">
        <f t="shared" si="0"/>
        <v>-0.13744964578413665</v>
      </c>
      <c r="I18" s="166">
        <f t="shared" si="1"/>
        <v>2.4365360732510756E-2</v>
      </c>
      <c r="J18" s="81"/>
      <c r="K18" s="164" t="s">
        <v>125</v>
      </c>
      <c r="L18" s="165">
        <v>76</v>
      </c>
      <c r="M18" s="165">
        <v>131</v>
      </c>
      <c r="N18" s="165">
        <v>86</v>
      </c>
      <c r="O18" s="165">
        <v>104</v>
      </c>
      <c r="P18" s="165">
        <v>112</v>
      </c>
      <c r="Q18" s="166">
        <f t="shared" si="2"/>
        <v>7.6923076923076872E-2</v>
      </c>
      <c r="R18" s="166">
        <f t="shared" si="3"/>
        <v>5.2331557798336601E-3</v>
      </c>
    </row>
    <row r="19" spans="2:22" x14ac:dyDescent="0.25">
      <c r="B19" s="164" t="s">
        <v>121</v>
      </c>
      <c r="C19" s="165">
        <v>6736</v>
      </c>
      <c r="D19" s="165">
        <v>10709</v>
      </c>
      <c r="E19" s="165">
        <v>11600</v>
      </c>
      <c r="F19" s="165">
        <v>12021</v>
      </c>
      <c r="G19" s="165">
        <v>11092</v>
      </c>
      <c r="H19" s="166">
        <f t="shared" si="0"/>
        <v>-7.7281424174361568E-2</v>
      </c>
      <c r="I19" s="166">
        <f t="shared" si="1"/>
        <v>2.1761863374265989E-2</v>
      </c>
      <c r="J19" s="81"/>
      <c r="K19" s="164" t="s">
        <v>121</v>
      </c>
      <c r="L19" s="165">
        <v>64</v>
      </c>
      <c r="M19" s="165">
        <v>104</v>
      </c>
      <c r="N19" s="165">
        <v>91</v>
      </c>
      <c r="O19" s="165">
        <v>128</v>
      </c>
      <c r="P19" s="165">
        <v>117</v>
      </c>
      <c r="Q19" s="166">
        <f t="shared" si="2"/>
        <v>-8.59375E-2</v>
      </c>
      <c r="R19" s="166">
        <f t="shared" si="3"/>
        <v>5.4667788057190915E-3</v>
      </c>
    </row>
    <row r="20" spans="2:22" x14ac:dyDescent="0.25">
      <c r="B20" s="164" t="s">
        <v>130</v>
      </c>
      <c r="C20" s="165">
        <v>301</v>
      </c>
      <c r="D20" s="165">
        <v>1140</v>
      </c>
      <c r="E20" s="165">
        <v>1395</v>
      </c>
      <c r="F20" s="165">
        <v>1364</v>
      </c>
      <c r="G20" s="165">
        <v>1300</v>
      </c>
      <c r="H20" s="166">
        <f t="shared" si="0"/>
        <v>-4.692082111436946E-2</v>
      </c>
      <c r="I20" s="166">
        <f t="shared" si="1"/>
        <v>2.5505249176474743E-3</v>
      </c>
      <c r="J20" s="81"/>
      <c r="K20" s="164" t="s">
        <v>130</v>
      </c>
      <c r="L20" s="165">
        <v>4</v>
      </c>
      <c r="M20" s="165">
        <v>36</v>
      </c>
      <c r="N20" s="165">
        <v>31</v>
      </c>
      <c r="O20" s="165">
        <v>45</v>
      </c>
      <c r="P20" s="165">
        <v>27</v>
      </c>
      <c r="Q20" s="166">
        <f t="shared" si="2"/>
        <v>-0.4</v>
      </c>
      <c r="R20" s="166">
        <f t="shared" si="3"/>
        <v>1.2615643397813289E-3</v>
      </c>
    </row>
    <row r="21" spans="2:22" x14ac:dyDescent="0.25">
      <c r="B21" s="164" t="s">
        <v>133</v>
      </c>
      <c r="C21" s="165">
        <v>223</v>
      </c>
      <c r="D21" s="165">
        <v>816</v>
      </c>
      <c r="E21" s="165">
        <v>1048</v>
      </c>
      <c r="F21" s="165">
        <v>600</v>
      </c>
      <c r="G21" s="165">
        <v>731</v>
      </c>
      <c r="H21" s="166">
        <f t="shared" si="0"/>
        <v>0.21833333333333327</v>
      </c>
      <c r="I21" s="166">
        <f t="shared" si="1"/>
        <v>1.4341797806156182E-3</v>
      </c>
      <c r="J21" s="81"/>
      <c r="K21" s="164" t="s">
        <v>133</v>
      </c>
      <c r="L21" s="165">
        <v>27</v>
      </c>
      <c r="M21" s="165">
        <v>56</v>
      </c>
      <c r="N21" s="165">
        <v>36</v>
      </c>
      <c r="O21" s="165">
        <v>26</v>
      </c>
      <c r="P21" s="165">
        <v>23</v>
      </c>
      <c r="Q21" s="166">
        <f t="shared" si="2"/>
        <v>-0.11538461538461542</v>
      </c>
      <c r="R21" s="166">
        <f t="shared" si="3"/>
        <v>1.0746659190729838E-3</v>
      </c>
    </row>
    <row r="22" spans="2:22" x14ac:dyDescent="0.25">
      <c r="B22" s="169" t="s">
        <v>147</v>
      </c>
      <c r="C22" s="170">
        <f>C14-SUM(C15:C21)</f>
        <v>31104</v>
      </c>
      <c r="D22" s="170">
        <f>D14-SUM(D15:D21)</f>
        <v>83275</v>
      </c>
      <c r="E22" s="170">
        <f>E14-SUM(E15:E21)</f>
        <v>92247</v>
      </c>
      <c r="F22" s="170">
        <f>F14-SUM(F15:F21)</f>
        <v>98124</v>
      </c>
      <c r="G22" s="170">
        <f>G14-SUM(G15:G21)</f>
        <v>101146</v>
      </c>
      <c r="H22" s="171">
        <f t="shared" si="0"/>
        <v>3.0797766091883672E-2</v>
      </c>
      <c r="I22" s="171">
        <f t="shared" si="1"/>
        <v>0.19844261024643955</v>
      </c>
      <c r="J22" s="81"/>
      <c r="K22" s="169" t="s">
        <v>147</v>
      </c>
      <c r="L22" s="170">
        <f>L14-SUM(L15:L21)</f>
        <v>2626</v>
      </c>
      <c r="M22" s="170">
        <f>M14-SUM(M15:M21)</f>
        <v>3821</v>
      </c>
      <c r="N22" s="170">
        <f>N14-SUM(N15:N21)</f>
        <v>3027</v>
      </c>
      <c r="O22" s="170">
        <f>O14-SUM(O15:O21)</f>
        <v>3029</v>
      </c>
      <c r="P22" s="170">
        <f>P14-SUM(P15:P21)</f>
        <v>3012</v>
      </c>
      <c r="Q22" s="171">
        <f t="shared" si="2"/>
        <v>-5.6124133377352114E-3</v>
      </c>
      <c r="R22" s="171">
        <f t="shared" si="3"/>
        <v>0.14073451079338378</v>
      </c>
    </row>
    <row r="23" spans="2:22" x14ac:dyDescent="0.25">
      <c r="B23" s="156" t="s">
        <v>46</v>
      </c>
      <c r="C23" s="175"/>
      <c r="D23" s="175"/>
      <c r="E23" s="175"/>
      <c r="F23" s="175"/>
      <c r="G23" s="175"/>
      <c r="H23" s="176"/>
      <c r="I23" s="176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</row>
    <row r="24" spans="2:22" x14ac:dyDescent="0.25">
      <c r="B24" s="157" t="s">
        <v>70</v>
      </c>
      <c r="C24" s="177">
        <v>58548</v>
      </c>
      <c r="D24" s="177">
        <v>175095</v>
      </c>
      <c r="E24" s="177">
        <v>187749</v>
      </c>
      <c r="F24" s="177">
        <v>186497</v>
      </c>
      <c r="G24" s="177">
        <v>173896</v>
      </c>
      <c r="H24" s="178">
        <f t="shared" ref="H24:H36" si="4">IFERROR(G24/F24-1,"-")</f>
        <v>-6.7566770511053753E-2</v>
      </c>
      <c r="I24" s="178">
        <f t="shared" ref="I24:I36" si="5">G24/G$10</f>
        <v>0.34117390852248092</v>
      </c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</row>
    <row r="25" spans="2:22" x14ac:dyDescent="0.25">
      <c r="B25" s="160" t="s">
        <v>99</v>
      </c>
      <c r="C25" s="161">
        <v>28745</v>
      </c>
      <c r="D25" s="161">
        <v>23636</v>
      </c>
      <c r="E25" s="161">
        <v>24768</v>
      </c>
      <c r="F25" s="161">
        <v>21695</v>
      </c>
      <c r="G25" s="161">
        <v>16343</v>
      </c>
      <c r="H25" s="162">
        <f t="shared" si="4"/>
        <v>-0.24669278635630332</v>
      </c>
      <c r="I25" s="162">
        <f t="shared" si="5"/>
        <v>3.2064022099317441E-2</v>
      </c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</row>
    <row r="26" spans="2:22" x14ac:dyDescent="0.25">
      <c r="B26" s="164" t="s">
        <v>105</v>
      </c>
      <c r="C26" s="165">
        <v>16147</v>
      </c>
      <c r="D26" s="165">
        <v>9892</v>
      </c>
      <c r="E26" s="165">
        <v>10381</v>
      </c>
      <c r="F26" s="165">
        <v>8706</v>
      </c>
      <c r="G26" s="165">
        <v>7214</v>
      </c>
      <c r="H26" s="166">
        <f t="shared" si="4"/>
        <v>-0.17137606248564208</v>
      </c>
      <c r="I26" s="166">
        <f t="shared" si="5"/>
        <v>1.4153451350699137E-2</v>
      </c>
    </row>
    <row r="27" spans="2:22" x14ac:dyDescent="0.25">
      <c r="B27" s="164" t="s">
        <v>102</v>
      </c>
      <c r="C27" s="165">
        <v>12598</v>
      </c>
      <c r="D27" s="165">
        <v>13744</v>
      </c>
      <c r="E27" s="165">
        <v>14387</v>
      </c>
      <c r="F27" s="165">
        <v>12989</v>
      </c>
      <c r="G27" s="165">
        <v>9129</v>
      </c>
      <c r="H27" s="166">
        <f t="shared" si="4"/>
        <v>-0.29717453229655866</v>
      </c>
      <c r="I27" s="166">
        <f t="shared" si="5"/>
        <v>1.7910570748618303E-2</v>
      </c>
    </row>
    <row r="28" spans="2:22" x14ac:dyDescent="0.25">
      <c r="B28" s="160" t="s">
        <v>109</v>
      </c>
      <c r="C28" s="161">
        <v>29803</v>
      </c>
      <c r="D28" s="161">
        <v>151459</v>
      </c>
      <c r="E28" s="161">
        <v>162981</v>
      </c>
      <c r="F28" s="161">
        <v>164802</v>
      </c>
      <c r="G28" s="161">
        <v>157553</v>
      </c>
      <c r="H28" s="162">
        <f t="shared" si="4"/>
        <v>-4.3986116673341291E-2</v>
      </c>
      <c r="I28" s="162">
        <f t="shared" si="5"/>
        <v>0.30910988642316345</v>
      </c>
    </row>
    <row r="29" spans="2:22" x14ac:dyDescent="0.25">
      <c r="B29" s="164" t="s">
        <v>112</v>
      </c>
      <c r="C29" s="165">
        <v>2639</v>
      </c>
      <c r="D29" s="165">
        <v>84874</v>
      </c>
      <c r="E29" s="165">
        <v>94663</v>
      </c>
      <c r="F29" s="165">
        <v>97679</v>
      </c>
      <c r="G29" s="165">
        <v>92452</v>
      </c>
      <c r="H29" s="166">
        <f t="shared" si="4"/>
        <v>-5.351201384125559E-2</v>
      </c>
      <c r="I29" s="166">
        <f t="shared" si="5"/>
        <v>0.18138548437411101</v>
      </c>
    </row>
    <row r="30" spans="2:22" x14ac:dyDescent="0.25">
      <c r="B30" s="164" t="s">
        <v>115</v>
      </c>
      <c r="C30" s="165">
        <v>6019</v>
      </c>
      <c r="D30" s="165">
        <v>17814</v>
      </c>
      <c r="E30" s="165">
        <v>17727</v>
      </c>
      <c r="F30" s="165">
        <v>15444</v>
      </c>
      <c r="G30" s="165">
        <v>15789</v>
      </c>
      <c r="H30" s="166">
        <f t="shared" si="4"/>
        <v>2.2338772338772239E-2</v>
      </c>
      <c r="I30" s="166">
        <f t="shared" si="5"/>
        <v>3.0977106095950748E-2</v>
      </c>
    </row>
    <row r="31" spans="2:22" x14ac:dyDescent="0.25">
      <c r="B31" s="164" t="s">
        <v>118</v>
      </c>
      <c r="C31" s="165">
        <v>3335</v>
      </c>
      <c r="D31" s="165">
        <v>4933</v>
      </c>
      <c r="E31" s="165">
        <v>4612</v>
      </c>
      <c r="F31" s="165">
        <v>3924</v>
      </c>
      <c r="G31" s="165">
        <v>3917</v>
      </c>
      <c r="H31" s="166">
        <f t="shared" si="4"/>
        <v>-1.7838939857288683E-3</v>
      </c>
      <c r="I31" s="166">
        <f t="shared" si="5"/>
        <v>7.6849277710962748E-3</v>
      </c>
    </row>
    <row r="32" spans="2:22" x14ac:dyDescent="0.25">
      <c r="B32" s="164" t="s">
        <v>125</v>
      </c>
      <c r="C32" s="165">
        <v>2688</v>
      </c>
      <c r="D32" s="165">
        <v>6923</v>
      </c>
      <c r="E32" s="165">
        <v>6270</v>
      </c>
      <c r="F32" s="165">
        <v>6193</v>
      </c>
      <c r="G32" s="165">
        <v>5238</v>
      </c>
      <c r="H32" s="166">
        <f t="shared" si="4"/>
        <v>-0.15420636202163729</v>
      </c>
      <c r="I32" s="166">
        <f t="shared" si="5"/>
        <v>1.0276653475874977E-2</v>
      </c>
    </row>
    <row r="33" spans="2:9" x14ac:dyDescent="0.25">
      <c r="B33" s="164" t="s">
        <v>121</v>
      </c>
      <c r="C33" s="165">
        <v>3911</v>
      </c>
      <c r="D33" s="165">
        <v>6048</v>
      </c>
      <c r="E33" s="165">
        <v>6021</v>
      </c>
      <c r="F33" s="165">
        <v>6388</v>
      </c>
      <c r="G33" s="165">
        <v>5521</v>
      </c>
      <c r="H33" s="166">
        <f t="shared" si="4"/>
        <v>-0.13572323105823414</v>
      </c>
      <c r="I33" s="166">
        <f t="shared" si="5"/>
        <v>1.083188313102439E-2</v>
      </c>
    </row>
    <row r="34" spans="2:9" x14ac:dyDescent="0.25">
      <c r="B34" s="164" t="s">
        <v>130</v>
      </c>
      <c r="C34" s="165">
        <v>53</v>
      </c>
      <c r="D34" s="165">
        <v>478</v>
      </c>
      <c r="E34" s="165">
        <v>509</v>
      </c>
      <c r="F34" s="165">
        <v>583</v>
      </c>
      <c r="G34" s="165">
        <v>625</v>
      </c>
      <c r="H34" s="166">
        <f t="shared" si="4"/>
        <v>7.2041166380788946E-2</v>
      </c>
      <c r="I34" s="166">
        <f t="shared" si="5"/>
        <v>1.2262139027151319E-3</v>
      </c>
    </row>
    <row r="35" spans="2:9" x14ac:dyDescent="0.25">
      <c r="B35" s="164" t="s">
        <v>133</v>
      </c>
      <c r="C35" s="165">
        <v>37</v>
      </c>
      <c r="D35" s="165">
        <v>342</v>
      </c>
      <c r="E35" s="165">
        <v>467</v>
      </c>
      <c r="F35" s="165">
        <v>260</v>
      </c>
      <c r="G35" s="165">
        <v>280</v>
      </c>
      <c r="H35" s="166">
        <f t="shared" si="4"/>
        <v>7.6923076923076872E-2</v>
      </c>
      <c r="I35" s="166">
        <f t="shared" si="5"/>
        <v>5.493438284163791E-4</v>
      </c>
    </row>
    <row r="36" spans="2:9" x14ac:dyDescent="0.25">
      <c r="B36" s="169" t="s">
        <v>147</v>
      </c>
      <c r="C36" s="170">
        <f>C28-SUM(C29:C35)</f>
        <v>11121</v>
      </c>
      <c r="D36" s="170">
        <f>D28-SUM(D29:D35)</f>
        <v>30047</v>
      </c>
      <c r="E36" s="170">
        <f>E28-SUM(E29:E35)</f>
        <v>32712</v>
      </c>
      <c r="F36" s="170">
        <f>F28-SUM(F29:F35)</f>
        <v>34331</v>
      </c>
      <c r="G36" s="170">
        <f>G28-SUM(G29:G35)</f>
        <v>33731</v>
      </c>
      <c r="H36" s="171">
        <f t="shared" si="4"/>
        <v>-1.7476915906906254E-2</v>
      </c>
      <c r="I36" s="171">
        <f t="shared" si="5"/>
        <v>6.617827384397458E-2</v>
      </c>
    </row>
    <row r="37" spans="2:9" x14ac:dyDescent="0.25">
      <c r="B37" s="156" t="s">
        <v>47</v>
      </c>
      <c r="C37" s="175"/>
      <c r="D37" s="175"/>
      <c r="E37" s="175"/>
      <c r="F37" s="175"/>
      <c r="G37" s="175"/>
      <c r="H37" s="176"/>
      <c r="I37" s="176"/>
    </row>
    <row r="38" spans="2:9" x14ac:dyDescent="0.25">
      <c r="B38" s="157" t="s">
        <v>70</v>
      </c>
      <c r="C38" s="177">
        <v>22984</v>
      </c>
      <c r="D38" s="177">
        <v>115840</v>
      </c>
      <c r="E38" s="177">
        <v>128682</v>
      </c>
      <c r="F38" s="177">
        <v>134353</v>
      </c>
      <c r="G38" s="177">
        <v>139166</v>
      </c>
      <c r="H38" s="178">
        <f t="shared" ref="H38:H50" si="6">IFERROR(G38/F38-1,"-")</f>
        <v>3.5823539481812938E-2</v>
      </c>
      <c r="I38" s="178">
        <f t="shared" ref="I38:I50" si="7">G38/G$10</f>
        <v>0.27303565437640648</v>
      </c>
    </row>
    <row r="39" spans="2:9" x14ac:dyDescent="0.25">
      <c r="B39" s="160" t="s">
        <v>99</v>
      </c>
      <c r="C39" s="161">
        <v>6763</v>
      </c>
      <c r="D39" s="161">
        <v>12663</v>
      </c>
      <c r="E39" s="161">
        <v>12831</v>
      </c>
      <c r="F39" s="161">
        <v>12372</v>
      </c>
      <c r="G39" s="161">
        <v>11715</v>
      </c>
      <c r="H39" s="162">
        <f t="shared" si="6"/>
        <v>-5.3103782735208549E-2</v>
      </c>
      <c r="I39" s="162">
        <f t="shared" si="7"/>
        <v>2.2984153392492431E-2</v>
      </c>
    </row>
    <row r="40" spans="2:9" x14ac:dyDescent="0.25">
      <c r="B40" s="164" t="s">
        <v>105</v>
      </c>
      <c r="C40" s="165">
        <v>4483</v>
      </c>
      <c r="D40" s="165">
        <v>4867</v>
      </c>
      <c r="E40" s="165">
        <v>5796</v>
      </c>
      <c r="F40" s="165">
        <v>6089</v>
      </c>
      <c r="G40" s="165">
        <v>5119</v>
      </c>
      <c r="H40" s="166">
        <f t="shared" si="6"/>
        <v>-0.15930366234192805</v>
      </c>
      <c r="I40" s="166">
        <f t="shared" si="7"/>
        <v>1.0043182348798016E-2</v>
      </c>
    </row>
    <row r="41" spans="2:9" x14ac:dyDescent="0.25">
      <c r="B41" s="164" t="s">
        <v>102</v>
      </c>
      <c r="C41" s="165">
        <v>2280</v>
      </c>
      <c r="D41" s="165">
        <v>7796</v>
      </c>
      <c r="E41" s="165">
        <v>7035</v>
      </c>
      <c r="F41" s="165">
        <v>6283</v>
      </c>
      <c r="G41" s="165">
        <v>6596</v>
      </c>
      <c r="H41" s="166">
        <f t="shared" si="6"/>
        <v>4.9816966417316477E-2</v>
      </c>
      <c r="I41" s="166">
        <f t="shared" si="7"/>
        <v>1.2940971043694415E-2</v>
      </c>
    </row>
    <row r="42" spans="2:9" x14ac:dyDescent="0.25">
      <c r="B42" s="160" t="s">
        <v>109</v>
      </c>
      <c r="C42" s="161">
        <v>16221</v>
      </c>
      <c r="D42" s="161">
        <v>103177</v>
      </c>
      <c r="E42" s="161">
        <v>115851</v>
      </c>
      <c r="F42" s="161">
        <v>121981</v>
      </c>
      <c r="G42" s="161">
        <v>127451</v>
      </c>
      <c r="H42" s="162">
        <f t="shared" si="6"/>
        <v>4.4843049327354167E-2</v>
      </c>
      <c r="I42" s="162">
        <f t="shared" si="7"/>
        <v>0.25005150098391404</v>
      </c>
    </row>
    <row r="43" spans="2:9" x14ac:dyDescent="0.25">
      <c r="B43" s="164" t="s">
        <v>112</v>
      </c>
      <c r="C43" s="165">
        <v>1303</v>
      </c>
      <c r="D43" s="165">
        <v>63453</v>
      </c>
      <c r="E43" s="165">
        <v>71553</v>
      </c>
      <c r="F43" s="165">
        <v>77824</v>
      </c>
      <c r="G43" s="165">
        <v>79228</v>
      </c>
      <c r="H43" s="166">
        <f t="shared" si="6"/>
        <v>1.8040707236842035E-2</v>
      </c>
      <c r="I43" s="166">
        <f t="shared" si="7"/>
        <v>0.15544076013490316</v>
      </c>
    </row>
    <row r="44" spans="2:9" x14ac:dyDescent="0.25">
      <c r="B44" s="164" t="s">
        <v>115</v>
      </c>
      <c r="C44" s="165">
        <v>987</v>
      </c>
      <c r="D44" s="165">
        <v>2834</v>
      </c>
      <c r="E44" s="165">
        <v>3697</v>
      </c>
      <c r="F44" s="165">
        <v>2686</v>
      </c>
      <c r="G44" s="165">
        <v>3762</v>
      </c>
      <c r="H44" s="166">
        <f t="shared" si="6"/>
        <v>0.40059568131049894</v>
      </c>
      <c r="I44" s="166">
        <f t="shared" si="7"/>
        <v>7.3808267232229217E-3</v>
      </c>
    </row>
    <row r="45" spans="2:9" x14ac:dyDescent="0.25">
      <c r="B45" s="164" t="s">
        <v>118</v>
      </c>
      <c r="C45" s="165">
        <v>1353</v>
      </c>
      <c r="D45" s="165">
        <v>1867</v>
      </c>
      <c r="E45" s="165">
        <v>2210</v>
      </c>
      <c r="F45" s="165">
        <v>2508</v>
      </c>
      <c r="G45" s="165">
        <v>2558</v>
      </c>
      <c r="H45" s="166">
        <f t="shared" si="6"/>
        <v>1.9936204146730363E-2</v>
      </c>
      <c r="I45" s="166">
        <f t="shared" si="7"/>
        <v>5.0186482610324913E-3</v>
      </c>
    </row>
    <row r="46" spans="2:9" x14ac:dyDescent="0.25">
      <c r="B46" s="164" t="s">
        <v>125</v>
      </c>
      <c r="C46" s="165">
        <v>2340</v>
      </c>
      <c r="D46" s="165">
        <v>5000</v>
      </c>
      <c r="E46" s="165">
        <v>5044</v>
      </c>
      <c r="F46" s="165">
        <v>5039</v>
      </c>
      <c r="G46" s="165">
        <v>4538</v>
      </c>
      <c r="H46" s="166">
        <f t="shared" si="6"/>
        <v>-9.9424488985909942E-2</v>
      </c>
      <c r="I46" s="166">
        <f t="shared" si="7"/>
        <v>8.9032939048340302E-3</v>
      </c>
    </row>
    <row r="47" spans="2:9" x14ac:dyDescent="0.25">
      <c r="B47" s="164" t="s">
        <v>121</v>
      </c>
      <c r="C47" s="165">
        <v>1437</v>
      </c>
      <c r="D47" s="165">
        <v>3085</v>
      </c>
      <c r="E47" s="165">
        <v>3798</v>
      </c>
      <c r="F47" s="165">
        <v>3383</v>
      </c>
      <c r="G47" s="165">
        <v>3650</v>
      </c>
      <c r="H47" s="166">
        <f t="shared" si="6"/>
        <v>7.892403192432762E-2</v>
      </c>
      <c r="I47" s="166">
        <f t="shared" si="7"/>
        <v>7.16108919185637E-3</v>
      </c>
    </row>
    <row r="48" spans="2:9" x14ac:dyDescent="0.25">
      <c r="B48" s="164" t="s">
        <v>130</v>
      </c>
      <c r="C48" s="165">
        <v>197</v>
      </c>
      <c r="D48" s="165">
        <v>415</v>
      </c>
      <c r="E48" s="165">
        <v>629</v>
      </c>
      <c r="F48" s="165">
        <v>511</v>
      </c>
      <c r="G48" s="165">
        <v>444</v>
      </c>
      <c r="H48" s="166">
        <f t="shared" si="6"/>
        <v>-0.13111545988258322</v>
      </c>
      <c r="I48" s="166">
        <f t="shared" si="7"/>
        <v>8.7110235648882968E-4</v>
      </c>
    </row>
    <row r="49" spans="2:9" x14ac:dyDescent="0.25">
      <c r="B49" s="164" t="s">
        <v>133</v>
      </c>
      <c r="C49" s="165">
        <v>26</v>
      </c>
      <c r="D49" s="165">
        <v>177</v>
      </c>
      <c r="E49" s="165">
        <v>325</v>
      </c>
      <c r="F49" s="165">
        <v>148</v>
      </c>
      <c r="G49" s="165">
        <v>165</v>
      </c>
      <c r="H49" s="166">
        <f t="shared" si="6"/>
        <v>0.11486486486486491</v>
      </c>
      <c r="I49" s="166">
        <f t="shared" si="7"/>
        <v>3.2372047031679484E-4</v>
      </c>
    </row>
    <row r="50" spans="2:9" x14ac:dyDescent="0.25">
      <c r="B50" s="169" t="s">
        <v>147</v>
      </c>
      <c r="C50" s="170">
        <f>C42-SUM(C43:C49)</f>
        <v>8578</v>
      </c>
      <c r="D50" s="170">
        <f>D42-SUM(D43:D49)</f>
        <v>26346</v>
      </c>
      <c r="E50" s="170">
        <f>E42-SUM(E43:E49)</f>
        <v>28595</v>
      </c>
      <c r="F50" s="170">
        <f>F42-SUM(F43:F49)</f>
        <v>29882</v>
      </c>
      <c r="G50" s="170">
        <f>G42-SUM(G43:G49)</f>
        <v>33106</v>
      </c>
      <c r="H50" s="171">
        <f t="shared" si="6"/>
        <v>0.10789103808312706</v>
      </c>
      <c r="I50" s="171">
        <f t="shared" si="7"/>
        <v>6.4952059941259452E-2</v>
      </c>
    </row>
    <row r="51" spans="2:9" x14ac:dyDescent="0.25">
      <c r="B51" s="156" t="s">
        <v>48</v>
      </c>
      <c r="C51" s="175"/>
      <c r="D51" s="175"/>
      <c r="E51" s="175"/>
      <c r="F51" s="175"/>
      <c r="G51" s="175"/>
      <c r="H51" s="176"/>
      <c r="I51" s="176"/>
    </row>
    <row r="52" spans="2:9" x14ac:dyDescent="0.25">
      <c r="B52" s="157" t="s">
        <v>70</v>
      </c>
      <c r="C52" s="177">
        <v>1691</v>
      </c>
      <c r="D52" s="177">
        <v>2772</v>
      </c>
      <c r="E52" s="177">
        <v>3279</v>
      </c>
      <c r="F52" s="177">
        <v>2702</v>
      </c>
      <c r="G52" s="177">
        <v>3626</v>
      </c>
      <c r="H52" s="178">
        <f t="shared" ref="H52:H64" si="8">IFERROR(G52/F52-1,"-")</f>
        <v>0.34196891191709855</v>
      </c>
      <c r="I52" s="178">
        <f t="shared" ref="I52:I64" si="9">G52/G$10</f>
        <v>7.1140025779921094E-3</v>
      </c>
    </row>
    <row r="53" spans="2:9" x14ac:dyDescent="0.25">
      <c r="B53" s="160" t="s">
        <v>99</v>
      </c>
      <c r="C53" s="161">
        <v>736</v>
      </c>
      <c r="D53" s="161">
        <v>548</v>
      </c>
      <c r="E53" s="161">
        <v>1481</v>
      </c>
      <c r="F53" s="161">
        <v>678</v>
      </c>
      <c r="G53" s="161">
        <v>932</v>
      </c>
      <c r="H53" s="162">
        <f t="shared" si="8"/>
        <v>0.37463126843657824</v>
      </c>
      <c r="I53" s="162">
        <f t="shared" si="9"/>
        <v>1.8285301717288047E-3</v>
      </c>
    </row>
    <row r="54" spans="2:9" x14ac:dyDescent="0.25">
      <c r="B54" s="164" t="s">
        <v>105</v>
      </c>
      <c r="C54" s="165">
        <v>378</v>
      </c>
      <c r="D54" s="165">
        <v>297</v>
      </c>
      <c r="E54" s="165">
        <v>1089</v>
      </c>
      <c r="F54" s="165">
        <v>386</v>
      </c>
      <c r="G54" s="165">
        <v>667</v>
      </c>
      <c r="H54" s="166">
        <f t="shared" si="8"/>
        <v>0.72797927461139889</v>
      </c>
      <c r="I54" s="166">
        <f t="shared" si="9"/>
        <v>1.3086154769775887E-3</v>
      </c>
    </row>
    <row r="55" spans="2:9" x14ac:dyDescent="0.25">
      <c r="B55" s="164" t="s">
        <v>102</v>
      </c>
      <c r="C55" s="165">
        <v>358</v>
      </c>
      <c r="D55" s="165">
        <v>251</v>
      </c>
      <c r="E55" s="165">
        <v>392</v>
      </c>
      <c r="F55" s="165">
        <v>292</v>
      </c>
      <c r="G55" s="165">
        <v>265</v>
      </c>
      <c r="H55" s="166">
        <f t="shared" si="8"/>
        <v>-9.2465753424657571E-2</v>
      </c>
      <c r="I55" s="166">
        <f t="shared" si="9"/>
        <v>5.1991469475121588E-4</v>
      </c>
    </row>
    <row r="56" spans="2:9" x14ac:dyDescent="0.25">
      <c r="B56" s="160" t="s">
        <v>109</v>
      </c>
      <c r="C56" s="161">
        <v>955</v>
      </c>
      <c r="D56" s="161">
        <v>2224</v>
      </c>
      <c r="E56" s="161">
        <v>1798</v>
      </c>
      <c r="F56" s="161">
        <v>2024</v>
      </c>
      <c r="G56" s="161">
        <v>2694</v>
      </c>
      <c r="H56" s="162">
        <f t="shared" si="8"/>
        <v>0.3310276679841897</v>
      </c>
      <c r="I56" s="162">
        <f t="shared" si="9"/>
        <v>5.2854724062633045E-3</v>
      </c>
    </row>
    <row r="57" spans="2:9" x14ac:dyDescent="0.25">
      <c r="B57" s="164" t="s">
        <v>112</v>
      </c>
      <c r="C57" s="165">
        <v>39</v>
      </c>
      <c r="D57" s="165">
        <v>1032</v>
      </c>
      <c r="E57" s="165">
        <v>813</v>
      </c>
      <c r="F57" s="165">
        <v>1447</v>
      </c>
      <c r="G57" s="165">
        <v>1083</v>
      </c>
      <c r="H57" s="166">
        <f t="shared" si="8"/>
        <v>-0.25155494125777467</v>
      </c>
      <c r="I57" s="166">
        <f t="shared" si="9"/>
        <v>2.1247834506247804E-3</v>
      </c>
    </row>
    <row r="58" spans="2:9" x14ac:dyDescent="0.25">
      <c r="B58" s="164" t="s">
        <v>115</v>
      </c>
      <c r="C58" s="165">
        <v>336</v>
      </c>
      <c r="D58" s="165">
        <v>351</v>
      </c>
      <c r="E58" s="165">
        <v>270</v>
      </c>
      <c r="F58" s="165">
        <v>145</v>
      </c>
      <c r="G58" s="165">
        <v>431</v>
      </c>
      <c r="H58" s="166">
        <f t="shared" si="8"/>
        <v>1.9724137931034482</v>
      </c>
      <c r="I58" s="166">
        <f t="shared" si="9"/>
        <v>8.4559710731235498E-4</v>
      </c>
    </row>
    <row r="59" spans="2:9" x14ac:dyDescent="0.25">
      <c r="B59" s="164" t="s">
        <v>118</v>
      </c>
      <c r="C59" s="165">
        <v>175</v>
      </c>
      <c r="D59" s="165">
        <v>127</v>
      </c>
      <c r="E59" s="165">
        <v>125</v>
      </c>
      <c r="F59" s="165">
        <v>70</v>
      </c>
      <c r="G59" s="165">
        <v>208</v>
      </c>
      <c r="H59" s="166">
        <f t="shared" si="8"/>
        <v>1.9714285714285715</v>
      </c>
      <c r="I59" s="166">
        <f t="shared" si="9"/>
        <v>4.0808398682359588E-4</v>
      </c>
    </row>
    <row r="60" spans="2:9" x14ac:dyDescent="0.25">
      <c r="B60" s="164" t="s">
        <v>125</v>
      </c>
      <c r="C60" s="165">
        <v>27</v>
      </c>
      <c r="D60" s="165">
        <v>47</v>
      </c>
      <c r="E60" s="165">
        <v>38</v>
      </c>
      <c r="F60" s="165">
        <v>13</v>
      </c>
      <c r="G60" s="165">
        <v>112</v>
      </c>
      <c r="H60" s="166">
        <f t="shared" si="8"/>
        <v>7.615384615384615</v>
      </c>
      <c r="I60" s="166">
        <f t="shared" si="9"/>
        <v>2.1973753136655163E-4</v>
      </c>
    </row>
    <row r="61" spans="2:9" x14ac:dyDescent="0.25">
      <c r="B61" s="164" t="s">
        <v>121</v>
      </c>
      <c r="C61" s="165">
        <v>28</v>
      </c>
      <c r="D61" s="165">
        <v>41</v>
      </c>
      <c r="E61" s="165">
        <v>34</v>
      </c>
      <c r="F61" s="165">
        <v>7</v>
      </c>
      <c r="G61" s="165">
        <v>60</v>
      </c>
      <c r="H61" s="166">
        <f t="shared" si="8"/>
        <v>7.5714285714285712</v>
      </c>
      <c r="I61" s="166">
        <f t="shared" si="9"/>
        <v>1.1771653466065266E-4</v>
      </c>
    </row>
    <row r="62" spans="2:9" x14ac:dyDescent="0.25">
      <c r="B62" s="164" t="s">
        <v>130</v>
      </c>
      <c r="C62" s="165">
        <v>7</v>
      </c>
      <c r="D62" s="165">
        <v>0</v>
      </c>
      <c r="E62" s="165">
        <v>6</v>
      </c>
      <c r="F62" s="165">
        <v>0</v>
      </c>
      <c r="G62" s="165">
        <v>2</v>
      </c>
      <c r="H62" s="166" t="str">
        <f t="shared" si="8"/>
        <v>-</v>
      </c>
      <c r="I62" s="166">
        <f t="shared" si="9"/>
        <v>3.9238844886884221E-6</v>
      </c>
    </row>
    <row r="63" spans="2:9" x14ac:dyDescent="0.25">
      <c r="B63" s="164" t="s">
        <v>133</v>
      </c>
      <c r="C63" s="165">
        <v>0</v>
      </c>
      <c r="D63" s="165">
        <v>1</v>
      </c>
      <c r="E63" s="165">
        <v>5</v>
      </c>
      <c r="F63" s="165">
        <v>1</v>
      </c>
      <c r="G63" s="165">
        <v>84</v>
      </c>
      <c r="H63" s="166">
        <f t="shared" si="8"/>
        <v>83</v>
      </c>
      <c r="I63" s="166">
        <f t="shared" si="9"/>
        <v>1.6480314852491374E-4</v>
      </c>
    </row>
    <row r="64" spans="2:9" x14ac:dyDescent="0.25">
      <c r="B64" s="169" t="s">
        <v>147</v>
      </c>
      <c r="C64" s="170">
        <f>C56-SUM(C57:C63)</f>
        <v>343</v>
      </c>
      <c r="D64" s="170">
        <f>D56-SUM(D57:D63)</f>
        <v>625</v>
      </c>
      <c r="E64" s="170">
        <f>E56-SUM(E57:E63)</f>
        <v>507</v>
      </c>
      <c r="F64" s="170">
        <f>F56-SUM(F57:F63)</f>
        <v>341</v>
      </c>
      <c r="G64" s="170">
        <f>G56-SUM(G57:G63)</f>
        <v>714</v>
      </c>
      <c r="H64" s="171">
        <f t="shared" si="8"/>
        <v>1.0938416422287389</v>
      </c>
      <c r="I64" s="171">
        <f t="shared" si="9"/>
        <v>1.4008267624617667E-3</v>
      </c>
    </row>
    <row r="65" spans="2:9" x14ac:dyDescent="0.25">
      <c r="B65" s="156" t="s">
        <v>49</v>
      </c>
      <c r="C65" s="175"/>
      <c r="D65" s="175"/>
      <c r="E65" s="175"/>
      <c r="F65" s="175"/>
      <c r="G65" s="175"/>
      <c r="H65" s="176"/>
      <c r="I65" s="176"/>
    </row>
    <row r="66" spans="2:9" x14ac:dyDescent="0.25">
      <c r="B66" s="157" t="s">
        <v>70</v>
      </c>
      <c r="C66" s="177">
        <v>3642</v>
      </c>
      <c r="D66" s="177">
        <v>12239</v>
      </c>
      <c r="E66" s="177">
        <v>16696</v>
      </c>
      <c r="F66" s="177">
        <v>18571</v>
      </c>
      <c r="G66" s="177">
        <v>18511</v>
      </c>
      <c r="H66" s="178">
        <f t="shared" ref="H66:H78" si="10">IFERROR(G66/F66-1,"-")</f>
        <v>-3.230843788702864E-3</v>
      </c>
      <c r="I66" s="178">
        <f t="shared" ref="I66:I78" si="11">G66/G$10</f>
        <v>3.6317512885055692E-2</v>
      </c>
    </row>
    <row r="67" spans="2:9" x14ac:dyDescent="0.25">
      <c r="B67" s="160" t="s">
        <v>99</v>
      </c>
      <c r="C67" s="161">
        <v>2061</v>
      </c>
      <c r="D67" s="161">
        <v>2403</v>
      </c>
      <c r="E67" s="161">
        <v>8666</v>
      </c>
      <c r="F67" s="161">
        <v>8351</v>
      </c>
      <c r="G67" s="161">
        <v>6109</v>
      </c>
      <c r="H67" s="162">
        <f t="shared" si="10"/>
        <v>-0.26847084181535141</v>
      </c>
      <c r="I67" s="162">
        <f t="shared" si="11"/>
        <v>1.1985505170698785E-2</v>
      </c>
    </row>
    <row r="68" spans="2:9" x14ac:dyDescent="0.25">
      <c r="B68" s="164" t="s">
        <v>105</v>
      </c>
      <c r="C68" s="165">
        <v>1811</v>
      </c>
      <c r="D68" s="165">
        <v>2205</v>
      </c>
      <c r="E68" s="165">
        <v>6849</v>
      </c>
      <c r="F68" s="165">
        <v>6607</v>
      </c>
      <c r="G68" s="165">
        <v>2507</v>
      </c>
      <c r="H68" s="166">
        <f t="shared" si="10"/>
        <v>-0.6205539579234145</v>
      </c>
      <c r="I68" s="166">
        <f t="shared" si="11"/>
        <v>4.9185892065709367E-3</v>
      </c>
    </row>
    <row r="69" spans="2:9" x14ac:dyDescent="0.25">
      <c r="B69" s="164" t="s">
        <v>102</v>
      </c>
      <c r="C69" s="165">
        <v>250</v>
      </c>
      <c r="D69" s="165">
        <v>198</v>
      </c>
      <c r="E69" s="165">
        <v>1817</v>
      </c>
      <c r="F69" s="165">
        <v>1744</v>
      </c>
      <c r="G69" s="165">
        <v>3602</v>
      </c>
      <c r="H69" s="166">
        <f t="shared" si="10"/>
        <v>1.0653669724770642</v>
      </c>
      <c r="I69" s="166">
        <f t="shared" si="11"/>
        <v>7.0669159641278479E-3</v>
      </c>
    </row>
    <row r="70" spans="2:9" x14ac:dyDescent="0.25">
      <c r="B70" s="160" t="s">
        <v>109</v>
      </c>
      <c r="C70" s="161">
        <v>1581</v>
      </c>
      <c r="D70" s="161">
        <v>9836</v>
      </c>
      <c r="E70" s="161">
        <v>8030</v>
      </c>
      <c r="F70" s="161">
        <v>10220</v>
      </c>
      <c r="G70" s="161">
        <v>12402</v>
      </c>
      <c r="H70" s="162">
        <f t="shared" si="10"/>
        <v>0.21350293542074361</v>
      </c>
      <c r="I70" s="162">
        <f t="shared" si="11"/>
        <v>2.4332007714356906E-2</v>
      </c>
    </row>
    <row r="71" spans="2:9" x14ac:dyDescent="0.25">
      <c r="B71" s="164" t="s">
        <v>112</v>
      </c>
      <c r="C71" s="165">
        <v>331</v>
      </c>
      <c r="D71" s="165">
        <v>4487</v>
      </c>
      <c r="E71" s="165">
        <v>2239</v>
      </c>
      <c r="F71" s="165">
        <v>5502</v>
      </c>
      <c r="G71" s="165">
        <v>7224</v>
      </c>
      <c r="H71" s="166">
        <f t="shared" si="10"/>
        <v>0.31297709923664119</v>
      </c>
      <c r="I71" s="166">
        <f t="shared" si="11"/>
        <v>1.4173070773142581E-2</v>
      </c>
    </row>
    <row r="72" spans="2:9" x14ac:dyDescent="0.25">
      <c r="B72" s="164" t="s">
        <v>115</v>
      </c>
      <c r="C72" s="165">
        <v>130</v>
      </c>
      <c r="D72" s="165">
        <v>772</v>
      </c>
      <c r="E72" s="165">
        <v>1776</v>
      </c>
      <c r="F72" s="165">
        <v>513</v>
      </c>
      <c r="G72" s="165">
        <v>730</v>
      </c>
      <c r="H72" s="166">
        <f t="shared" si="10"/>
        <v>0.42300194931773882</v>
      </c>
      <c r="I72" s="166">
        <f t="shared" si="11"/>
        <v>1.432217838371274E-3</v>
      </c>
    </row>
    <row r="73" spans="2:9" x14ac:dyDescent="0.25">
      <c r="B73" s="164" t="s">
        <v>118</v>
      </c>
      <c r="C73" s="165">
        <v>248</v>
      </c>
      <c r="D73" s="165">
        <v>845</v>
      </c>
      <c r="E73" s="165">
        <v>477</v>
      </c>
      <c r="F73" s="165">
        <v>448</v>
      </c>
      <c r="G73" s="165">
        <v>937</v>
      </c>
      <c r="H73" s="166">
        <f t="shared" si="10"/>
        <v>1.0915178571428572</v>
      </c>
      <c r="I73" s="166">
        <f t="shared" si="11"/>
        <v>1.8383398829505257E-3</v>
      </c>
    </row>
    <row r="74" spans="2:9" x14ac:dyDescent="0.25">
      <c r="B74" s="164" t="s">
        <v>125</v>
      </c>
      <c r="C74" s="165">
        <v>250</v>
      </c>
      <c r="D74" s="165">
        <v>238</v>
      </c>
      <c r="E74" s="165">
        <v>171</v>
      </c>
      <c r="F74" s="165">
        <v>286</v>
      </c>
      <c r="G74" s="165">
        <v>371</v>
      </c>
      <c r="H74" s="166">
        <f t="shared" si="10"/>
        <v>0.2972027972027973</v>
      </c>
      <c r="I74" s="166">
        <f t="shared" si="11"/>
        <v>7.2788057265170229E-4</v>
      </c>
    </row>
    <row r="75" spans="2:9" x14ac:dyDescent="0.25">
      <c r="B75" s="164" t="s">
        <v>121</v>
      </c>
      <c r="C75" s="165">
        <v>82</v>
      </c>
      <c r="D75" s="165">
        <v>173</v>
      </c>
      <c r="E75" s="165">
        <v>148</v>
      </c>
      <c r="F75" s="165">
        <v>135</v>
      </c>
      <c r="G75" s="165">
        <v>211</v>
      </c>
      <c r="H75" s="166">
        <f t="shared" si="10"/>
        <v>0.56296296296296289</v>
      </c>
      <c r="I75" s="166">
        <f t="shared" si="11"/>
        <v>4.1396981355662851E-4</v>
      </c>
    </row>
    <row r="76" spans="2:9" x14ac:dyDescent="0.25">
      <c r="B76" s="164" t="s">
        <v>130</v>
      </c>
      <c r="C76" s="165">
        <v>0</v>
      </c>
      <c r="D76" s="165">
        <v>52</v>
      </c>
      <c r="E76" s="165">
        <v>0</v>
      </c>
      <c r="F76" s="165">
        <v>4</v>
      </c>
      <c r="G76" s="165">
        <v>13</v>
      </c>
      <c r="H76" s="166">
        <f t="shared" si="10"/>
        <v>2.25</v>
      </c>
      <c r="I76" s="166">
        <f t="shared" si="11"/>
        <v>2.5505249176474742E-5</v>
      </c>
    </row>
    <row r="77" spans="2:9" x14ac:dyDescent="0.25">
      <c r="B77" s="164" t="s">
        <v>133</v>
      </c>
      <c r="C77" s="165">
        <v>0</v>
      </c>
      <c r="D77" s="165">
        <v>88</v>
      </c>
      <c r="E77" s="165">
        <v>2</v>
      </c>
      <c r="F77" s="165">
        <v>23</v>
      </c>
      <c r="G77" s="165">
        <v>49</v>
      </c>
      <c r="H77" s="166">
        <f t="shared" si="10"/>
        <v>1.1304347826086958</v>
      </c>
      <c r="I77" s="166">
        <f t="shared" si="11"/>
        <v>9.6135169972866335E-5</v>
      </c>
    </row>
    <row r="78" spans="2:9" x14ac:dyDescent="0.25">
      <c r="B78" s="169" t="s">
        <v>147</v>
      </c>
      <c r="C78" s="170">
        <f>C70-SUM(C71:C77)</f>
        <v>540</v>
      </c>
      <c r="D78" s="170">
        <f>D70-SUM(D71:D77)</f>
        <v>3181</v>
      </c>
      <c r="E78" s="170">
        <f>E70-SUM(E71:E77)</f>
        <v>3217</v>
      </c>
      <c r="F78" s="170">
        <f>F70-SUM(F71:F77)</f>
        <v>3309</v>
      </c>
      <c r="G78" s="170">
        <f>G70-SUM(G71:G77)</f>
        <v>2867</v>
      </c>
      <c r="H78" s="171">
        <f t="shared" si="10"/>
        <v>-0.13357509821698399</v>
      </c>
      <c r="I78" s="171">
        <f t="shared" si="11"/>
        <v>5.6248884145348533E-3</v>
      </c>
    </row>
    <row r="79" spans="2:9" x14ac:dyDescent="0.25">
      <c r="B79" s="156" t="s">
        <v>50</v>
      </c>
      <c r="C79" s="175"/>
      <c r="D79" s="175"/>
      <c r="E79" s="175"/>
      <c r="F79" s="175"/>
      <c r="G79" s="175"/>
      <c r="H79" s="176"/>
      <c r="I79" s="176"/>
    </row>
    <row r="80" spans="2:9" x14ac:dyDescent="0.25">
      <c r="B80" s="157" t="s">
        <v>70</v>
      </c>
      <c r="C80" s="177">
        <v>27009</v>
      </c>
      <c r="D80" s="177">
        <v>71256</v>
      </c>
      <c r="E80" s="177">
        <v>79915</v>
      </c>
      <c r="F80" s="177">
        <v>95487</v>
      </c>
      <c r="G80" s="177">
        <v>87271</v>
      </c>
      <c r="H80" s="178">
        <f t="shared" ref="H80:H92" si="12">IFERROR(G80/F80-1,"-")</f>
        <v>-8.6043126289442551E-2</v>
      </c>
      <c r="I80" s="178">
        <f t="shared" ref="I80:I92" si="13">G80/G$10</f>
        <v>0.17122066160616364</v>
      </c>
    </row>
    <row r="81" spans="2:9" x14ac:dyDescent="0.25">
      <c r="B81" s="160" t="s">
        <v>99</v>
      </c>
      <c r="C81" s="161">
        <v>16753</v>
      </c>
      <c r="D81" s="161">
        <v>41769</v>
      </c>
      <c r="E81" s="161">
        <v>45122</v>
      </c>
      <c r="F81" s="161">
        <v>50294</v>
      </c>
      <c r="G81" s="161">
        <v>44540</v>
      </c>
      <c r="H81" s="162">
        <f t="shared" si="12"/>
        <v>-0.11440728516324017</v>
      </c>
      <c r="I81" s="162">
        <f t="shared" si="13"/>
        <v>8.7384907563091155E-2</v>
      </c>
    </row>
    <row r="82" spans="2:9" x14ac:dyDescent="0.25">
      <c r="B82" s="164" t="s">
        <v>105</v>
      </c>
      <c r="C82" s="165">
        <v>6558</v>
      </c>
      <c r="D82" s="165">
        <v>9014</v>
      </c>
      <c r="E82" s="165">
        <v>13364</v>
      </c>
      <c r="F82" s="165">
        <v>16989</v>
      </c>
      <c r="G82" s="165">
        <v>10051</v>
      </c>
      <c r="H82" s="166">
        <f t="shared" si="12"/>
        <v>-0.40838189416681381</v>
      </c>
      <c r="I82" s="166">
        <f t="shared" si="13"/>
        <v>1.9719481497903663E-2</v>
      </c>
    </row>
    <row r="83" spans="2:9" x14ac:dyDescent="0.25">
      <c r="B83" s="164" t="s">
        <v>102</v>
      </c>
      <c r="C83" s="165">
        <v>10195</v>
      </c>
      <c r="D83" s="165">
        <v>32755</v>
      </c>
      <c r="E83" s="165">
        <v>31758</v>
      </c>
      <c r="F83" s="165">
        <v>33305</v>
      </c>
      <c r="G83" s="165">
        <v>34489</v>
      </c>
      <c r="H83" s="166">
        <f t="shared" si="12"/>
        <v>3.5550217685032193E-2</v>
      </c>
      <c r="I83" s="166">
        <f t="shared" si="13"/>
        <v>6.7665426065187495E-2</v>
      </c>
    </row>
    <row r="84" spans="2:9" x14ac:dyDescent="0.25">
      <c r="B84" s="160" t="s">
        <v>109</v>
      </c>
      <c r="C84" s="161">
        <v>10256</v>
      </c>
      <c r="D84" s="161">
        <v>29487</v>
      </c>
      <c r="E84" s="161">
        <v>34793</v>
      </c>
      <c r="F84" s="161">
        <v>45193</v>
      </c>
      <c r="G84" s="161">
        <v>42731</v>
      </c>
      <c r="H84" s="162">
        <f t="shared" si="12"/>
        <v>-5.447746332396608E-2</v>
      </c>
      <c r="I84" s="162">
        <f t="shared" si="13"/>
        <v>8.3835754043072475E-2</v>
      </c>
    </row>
    <row r="85" spans="2:9" x14ac:dyDescent="0.25">
      <c r="B85" s="164" t="s">
        <v>112</v>
      </c>
      <c r="C85" s="165">
        <v>699</v>
      </c>
      <c r="D85" s="165">
        <v>6823</v>
      </c>
      <c r="E85" s="165">
        <v>7422</v>
      </c>
      <c r="F85" s="165">
        <v>10364</v>
      </c>
      <c r="G85" s="165">
        <v>9826</v>
      </c>
      <c r="H85" s="166">
        <f t="shared" si="12"/>
        <v>-5.191045928213045E-2</v>
      </c>
      <c r="I85" s="166">
        <f t="shared" si="13"/>
        <v>1.9278044492926218E-2</v>
      </c>
    </row>
    <row r="86" spans="2:9" x14ac:dyDescent="0.25">
      <c r="B86" s="164" t="s">
        <v>115</v>
      </c>
      <c r="C86" s="165">
        <v>2689</v>
      </c>
      <c r="D86" s="165">
        <v>9694</v>
      </c>
      <c r="E86" s="165">
        <v>9600</v>
      </c>
      <c r="F86" s="165">
        <v>10676</v>
      </c>
      <c r="G86" s="165">
        <v>10888</v>
      </c>
      <c r="H86" s="166">
        <f t="shared" si="12"/>
        <v>1.9857624578493827E-2</v>
      </c>
      <c r="I86" s="166">
        <f t="shared" si="13"/>
        <v>2.1361627156419771E-2</v>
      </c>
    </row>
    <row r="87" spans="2:9" x14ac:dyDescent="0.25">
      <c r="B87" s="164" t="s">
        <v>118</v>
      </c>
      <c r="C87" s="165">
        <v>1342</v>
      </c>
      <c r="D87" s="165">
        <v>2061</v>
      </c>
      <c r="E87" s="165">
        <v>3029</v>
      </c>
      <c r="F87" s="165">
        <v>5693</v>
      </c>
      <c r="G87" s="165">
        <v>4340</v>
      </c>
      <c r="H87" s="166">
        <f t="shared" si="12"/>
        <v>-0.237660284559986</v>
      </c>
      <c r="I87" s="166">
        <f t="shared" si="13"/>
        <v>8.514829340453875E-3</v>
      </c>
    </row>
    <row r="88" spans="2:9" x14ac:dyDescent="0.25">
      <c r="B88" s="164" t="s">
        <v>125</v>
      </c>
      <c r="C88" s="165">
        <v>268</v>
      </c>
      <c r="D88" s="165">
        <v>622</v>
      </c>
      <c r="E88" s="165">
        <v>1018</v>
      </c>
      <c r="F88" s="165">
        <v>1717</v>
      </c>
      <c r="G88" s="165">
        <v>1007</v>
      </c>
      <c r="H88" s="166">
        <f t="shared" si="12"/>
        <v>-0.41351193942923703</v>
      </c>
      <c r="I88" s="166">
        <f t="shared" si="13"/>
        <v>1.9756758400546206E-3</v>
      </c>
    </row>
    <row r="89" spans="2:9" x14ac:dyDescent="0.25">
      <c r="B89" s="164" t="s">
        <v>121</v>
      </c>
      <c r="C89" s="165">
        <v>317</v>
      </c>
      <c r="D89" s="165">
        <v>447</v>
      </c>
      <c r="E89" s="165">
        <v>459</v>
      </c>
      <c r="F89" s="165">
        <v>784</v>
      </c>
      <c r="G89" s="165">
        <v>715</v>
      </c>
      <c r="H89" s="166">
        <f t="shared" si="12"/>
        <v>-8.8010204081632626E-2</v>
      </c>
      <c r="I89" s="166">
        <f t="shared" si="13"/>
        <v>1.4027887047061108E-3</v>
      </c>
    </row>
    <row r="90" spans="2:9" x14ac:dyDescent="0.25">
      <c r="B90" s="164" t="s">
        <v>130</v>
      </c>
      <c r="C90" s="165">
        <v>26</v>
      </c>
      <c r="D90" s="165">
        <v>112</v>
      </c>
      <c r="E90" s="165">
        <v>185</v>
      </c>
      <c r="F90" s="165">
        <v>153</v>
      </c>
      <c r="G90" s="165">
        <v>135</v>
      </c>
      <c r="H90" s="166">
        <f t="shared" si="12"/>
        <v>-0.11764705882352944</v>
      </c>
      <c r="I90" s="166">
        <f t="shared" si="13"/>
        <v>2.6486220298646849E-4</v>
      </c>
    </row>
    <row r="91" spans="2:9" x14ac:dyDescent="0.25">
      <c r="B91" s="164" t="s">
        <v>133</v>
      </c>
      <c r="C91" s="165">
        <v>102</v>
      </c>
      <c r="D91" s="165">
        <v>82</v>
      </c>
      <c r="E91" s="165">
        <v>168</v>
      </c>
      <c r="F91" s="165">
        <v>121</v>
      </c>
      <c r="G91" s="165">
        <v>65</v>
      </c>
      <c r="H91" s="166">
        <f t="shared" si="12"/>
        <v>-0.46280991735537191</v>
      </c>
      <c r="I91" s="166">
        <f t="shared" si="13"/>
        <v>1.2752624588237372E-4</v>
      </c>
    </row>
    <row r="92" spans="2:9" x14ac:dyDescent="0.25">
      <c r="B92" s="169" t="s">
        <v>147</v>
      </c>
      <c r="C92" s="170">
        <f>C84-SUM(C85:C91)</f>
        <v>4813</v>
      </c>
      <c r="D92" s="170">
        <f>D84-SUM(D85:D91)</f>
        <v>9646</v>
      </c>
      <c r="E92" s="170">
        <f>E84-SUM(E85:E91)</f>
        <v>12912</v>
      </c>
      <c r="F92" s="170">
        <f>F84-SUM(F85:F91)</f>
        <v>15685</v>
      </c>
      <c r="G92" s="170">
        <f>G84-SUM(G85:G91)</f>
        <v>15755</v>
      </c>
      <c r="H92" s="171">
        <f t="shared" si="12"/>
        <v>4.4628626075868816E-3</v>
      </c>
      <c r="I92" s="171">
        <f t="shared" si="13"/>
        <v>3.0910400059643045E-2</v>
      </c>
    </row>
    <row r="93" spans="2:9" x14ac:dyDescent="0.25">
      <c r="B93" s="156" t="s">
        <v>51</v>
      </c>
      <c r="C93" s="175"/>
      <c r="D93" s="175"/>
      <c r="E93" s="175"/>
      <c r="F93" s="175"/>
      <c r="G93" s="175"/>
      <c r="H93" s="176"/>
      <c r="I93" s="176"/>
    </row>
    <row r="94" spans="2:9" x14ac:dyDescent="0.25">
      <c r="B94" s="157" t="s">
        <v>70</v>
      </c>
      <c r="C94" s="177">
        <v>2578</v>
      </c>
      <c r="D94" s="177">
        <v>4491</v>
      </c>
      <c r="E94" s="177">
        <v>4369</v>
      </c>
      <c r="F94" s="177">
        <v>4153</v>
      </c>
      <c r="G94" s="177">
        <v>4247</v>
      </c>
      <c r="H94" s="178">
        <f t="shared" ref="H94:H106" si="14">IFERROR(G94/F94-1,"-")</f>
        <v>2.2634240308210929E-2</v>
      </c>
      <c r="I94" s="178">
        <f t="shared" ref="I94:I106" si="15">G94/G$10</f>
        <v>8.332368711729864E-3</v>
      </c>
    </row>
    <row r="95" spans="2:9" x14ac:dyDescent="0.25">
      <c r="B95" s="160" t="s">
        <v>99</v>
      </c>
      <c r="C95" s="161">
        <v>1946</v>
      </c>
      <c r="D95" s="161">
        <v>3449</v>
      </c>
      <c r="E95" s="161">
        <v>3376</v>
      </c>
      <c r="F95" s="161">
        <v>3115</v>
      </c>
      <c r="G95" s="161">
        <v>3157</v>
      </c>
      <c r="H95" s="162">
        <f t="shared" si="14"/>
        <v>1.348314606741563E-2</v>
      </c>
      <c r="I95" s="162">
        <f t="shared" si="15"/>
        <v>6.1938516653946745E-3</v>
      </c>
    </row>
    <row r="96" spans="2:9" x14ac:dyDescent="0.25">
      <c r="B96" s="164" t="s">
        <v>105</v>
      </c>
      <c r="C96" s="165">
        <v>1108</v>
      </c>
      <c r="D96" s="165">
        <v>1677</v>
      </c>
      <c r="E96" s="165">
        <v>820</v>
      </c>
      <c r="F96" s="165">
        <v>759</v>
      </c>
      <c r="G96" s="165">
        <v>1039</v>
      </c>
      <c r="H96" s="166">
        <f t="shared" si="14"/>
        <v>0.36890645586297754</v>
      </c>
      <c r="I96" s="166">
        <f t="shared" si="15"/>
        <v>2.0384579918736353E-3</v>
      </c>
    </row>
    <row r="97" spans="2:9" x14ac:dyDescent="0.25">
      <c r="B97" s="164" t="s">
        <v>102</v>
      </c>
      <c r="C97" s="165">
        <v>838</v>
      </c>
      <c r="D97" s="165">
        <v>1772</v>
      </c>
      <c r="E97" s="165">
        <v>2556</v>
      </c>
      <c r="F97" s="165">
        <v>2356</v>
      </c>
      <c r="G97" s="165">
        <v>2118</v>
      </c>
      <c r="H97" s="166">
        <f t="shared" si="14"/>
        <v>-0.10101867572156198</v>
      </c>
      <c r="I97" s="166">
        <f t="shared" si="15"/>
        <v>4.1553936735210387E-3</v>
      </c>
    </row>
    <row r="98" spans="2:9" x14ac:dyDescent="0.25">
      <c r="B98" s="160" t="s">
        <v>109</v>
      </c>
      <c r="C98" s="161">
        <v>632</v>
      </c>
      <c r="D98" s="161">
        <v>1042</v>
      </c>
      <c r="E98" s="161">
        <v>993</v>
      </c>
      <c r="F98" s="161">
        <v>1038</v>
      </c>
      <c r="G98" s="161">
        <v>1090</v>
      </c>
      <c r="H98" s="162">
        <f t="shared" si="14"/>
        <v>5.0096339113680166E-2</v>
      </c>
      <c r="I98" s="162">
        <f t="shared" si="15"/>
        <v>2.13851704633519E-3</v>
      </c>
    </row>
    <row r="99" spans="2:9" x14ac:dyDescent="0.25">
      <c r="B99" s="164" t="s">
        <v>112</v>
      </c>
      <c r="C99" s="165">
        <v>27</v>
      </c>
      <c r="D99" s="165">
        <v>148</v>
      </c>
      <c r="E99" s="165">
        <v>140</v>
      </c>
      <c r="F99" s="165">
        <v>113</v>
      </c>
      <c r="G99" s="165">
        <v>120</v>
      </c>
      <c r="H99" s="166">
        <f t="shared" si="14"/>
        <v>6.1946902654867353E-2</v>
      </c>
      <c r="I99" s="166">
        <f t="shared" si="15"/>
        <v>2.3543306932130532E-4</v>
      </c>
    </row>
    <row r="100" spans="2:9" x14ac:dyDescent="0.25">
      <c r="B100" s="164" t="s">
        <v>115</v>
      </c>
      <c r="C100" s="165">
        <v>124</v>
      </c>
      <c r="D100" s="165">
        <v>202</v>
      </c>
      <c r="E100" s="165">
        <v>150</v>
      </c>
      <c r="F100" s="165">
        <v>178</v>
      </c>
      <c r="G100" s="165">
        <v>155</v>
      </c>
      <c r="H100" s="166">
        <f t="shared" si="14"/>
        <v>-0.1292134831460674</v>
      </c>
      <c r="I100" s="166">
        <f t="shared" si="15"/>
        <v>3.0410104787335272E-4</v>
      </c>
    </row>
    <row r="101" spans="2:9" x14ac:dyDescent="0.25">
      <c r="B101" s="164" t="s">
        <v>118</v>
      </c>
      <c r="C101" s="165">
        <v>165</v>
      </c>
      <c r="D101" s="165">
        <v>129</v>
      </c>
      <c r="E101" s="165">
        <v>155</v>
      </c>
      <c r="F101" s="165">
        <v>126</v>
      </c>
      <c r="G101" s="165">
        <v>142</v>
      </c>
      <c r="H101" s="166">
        <f t="shared" si="14"/>
        <v>0.12698412698412698</v>
      </c>
      <c r="I101" s="166">
        <f t="shared" si="15"/>
        <v>2.7859579869687797E-4</v>
      </c>
    </row>
    <row r="102" spans="2:9" x14ac:dyDescent="0.25">
      <c r="B102" s="164" t="s">
        <v>125</v>
      </c>
      <c r="C102" s="165">
        <v>18</v>
      </c>
      <c r="D102" s="165">
        <v>93</v>
      </c>
      <c r="E102" s="165">
        <v>33</v>
      </c>
      <c r="F102" s="165">
        <v>43</v>
      </c>
      <c r="G102" s="165">
        <v>34</v>
      </c>
      <c r="H102" s="166">
        <f t="shared" si="14"/>
        <v>-0.20930232558139539</v>
      </c>
      <c r="I102" s="166">
        <f t="shared" si="15"/>
        <v>6.6706036307703176E-5</v>
      </c>
    </row>
    <row r="103" spans="2:9" x14ac:dyDescent="0.25">
      <c r="B103" s="164" t="s">
        <v>121</v>
      </c>
      <c r="C103" s="165">
        <v>29</v>
      </c>
      <c r="D103" s="165">
        <v>33</v>
      </c>
      <c r="E103" s="165">
        <v>37</v>
      </c>
      <c r="F103" s="165">
        <v>21</v>
      </c>
      <c r="G103" s="165">
        <v>21</v>
      </c>
      <c r="H103" s="166">
        <f t="shared" si="14"/>
        <v>0</v>
      </c>
      <c r="I103" s="166">
        <f t="shared" si="15"/>
        <v>4.1200787131228434E-5</v>
      </c>
    </row>
    <row r="104" spans="2:9" x14ac:dyDescent="0.25">
      <c r="B104" s="164" t="s">
        <v>130</v>
      </c>
      <c r="C104" s="165">
        <v>0</v>
      </c>
      <c r="D104" s="165">
        <v>7</v>
      </c>
      <c r="E104" s="165">
        <v>2</v>
      </c>
      <c r="F104" s="165">
        <v>47</v>
      </c>
      <c r="G104" s="165">
        <v>2</v>
      </c>
      <c r="H104" s="166">
        <f t="shared" si="14"/>
        <v>-0.95744680851063835</v>
      </c>
      <c r="I104" s="166">
        <f t="shared" si="15"/>
        <v>3.9238844886884221E-6</v>
      </c>
    </row>
    <row r="105" spans="2:9" x14ac:dyDescent="0.25">
      <c r="B105" s="164" t="s">
        <v>133</v>
      </c>
      <c r="C105" s="165">
        <v>6</v>
      </c>
      <c r="D105" s="165">
        <v>23</v>
      </c>
      <c r="E105" s="165">
        <v>9</v>
      </c>
      <c r="F105" s="165">
        <v>0</v>
      </c>
      <c r="G105" s="165">
        <v>6</v>
      </c>
      <c r="H105" s="166" t="str">
        <f t="shared" si="14"/>
        <v>-</v>
      </c>
      <c r="I105" s="166">
        <f t="shared" si="15"/>
        <v>1.1771653466065265E-5</v>
      </c>
    </row>
    <row r="106" spans="2:9" x14ac:dyDescent="0.25">
      <c r="B106" s="169" t="s">
        <v>147</v>
      </c>
      <c r="C106" s="170">
        <f>C98-SUM(C99:C105)</f>
        <v>263</v>
      </c>
      <c r="D106" s="170">
        <f>D98-SUM(D99:D105)</f>
        <v>407</v>
      </c>
      <c r="E106" s="170">
        <f>E98-SUM(E99:E105)</f>
        <v>467</v>
      </c>
      <c r="F106" s="170">
        <f>F98-SUM(F99:F105)</f>
        <v>510</v>
      </c>
      <c r="G106" s="170">
        <f>G98-SUM(G99:G105)</f>
        <v>610</v>
      </c>
      <c r="H106" s="171">
        <f t="shared" si="14"/>
        <v>0.19607843137254899</v>
      </c>
      <c r="I106" s="171">
        <f t="shared" si="15"/>
        <v>1.1967847690499687E-3</v>
      </c>
    </row>
    <row r="107" spans="2:9" x14ac:dyDescent="0.25">
      <c r="B107" s="156" t="s">
        <v>52</v>
      </c>
      <c r="C107" s="175"/>
      <c r="D107" s="175"/>
      <c r="E107" s="175"/>
      <c r="F107" s="175"/>
      <c r="G107" s="175"/>
      <c r="H107" s="176"/>
      <c r="I107" s="176"/>
    </row>
    <row r="108" spans="2:9" x14ac:dyDescent="0.25">
      <c r="B108" s="157" t="s">
        <v>70</v>
      </c>
      <c r="C108" s="177">
        <v>13872</v>
      </c>
      <c r="D108" s="177">
        <v>16290</v>
      </c>
      <c r="E108" s="177">
        <v>24851</v>
      </c>
      <c r="F108" s="177">
        <v>23158</v>
      </c>
      <c r="G108" s="177">
        <v>23497</v>
      </c>
      <c r="H108" s="178">
        <f t="shared" ref="H108:H120" si="16">IFERROR(G108/F108-1,"-")</f>
        <v>1.4638569824682701E-2</v>
      </c>
      <c r="I108" s="178">
        <f t="shared" ref="I108:I120" si="17">G108/G$10</f>
        <v>4.6099756915355929E-2</v>
      </c>
    </row>
    <row r="109" spans="2:9" x14ac:dyDescent="0.25">
      <c r="B109" s="160" t="s">
        <v>99</v>
      </c>
      <c r="C109" s="161">
        <v>7901</v>
      </c>
      <c r="D109" s="161">
        <v>4166</v>
      </c>
      <c r="E109" s="161">
        <v>5564</v>
      </c>
      <c r="F109" s="161">
        <v>6035</v>
      </c>
      <c r="G109" s="161">
        <v>5708</v>
      </c>
      <c r="H109" s="162">
        <f t="shared" si="16"/>
        <v>-5.4183927091963513E-2</v>
      </c>
      <c r="I109" s="162">
        <f t="shared" si="17"/>
        <v>1.1198766330716757E-2</v>
      </c>
    </row>
    <row r="110" spans="2:9" x14ac:dyDescent="0.25">
      <c r="B110" s="164" t="s">
        <v>105</v>
      </c>
      <c r="C110" s="165">
        <v>3656</v>
      </c>
      <c r="D110" s="165">
        <v>1000</v>
      </c>
      <c r="E110" s="165">
        <v>2087</v>
      </c>
      <c r="F110" s="165">
        <v>2245</v>
      </c>
      <c r="G110" s="165">
        <v>2139</v>
      </c>
      <c r="H110" s="166">
        <f t="shared" si="16"/>
        <v>-4.7216035634743858E-2</v>
      </c>
      <c r="I110" s="166">
        <f t="shared" si="17"/>
        <v>4.1965944606522677E-3</v>
      </c>
    </row>
    <row r="111" spans="2:9" x14ac:dyDescent="0.25">
      <c r="B111" s="164" t="s">
        <v>102</v>
      </c>
      <c r="C111" s="165">
        <v>4245</v>
      </c>
      <c r="D111" s="165">
        <v>3166</v>
      </c>
      <c r="E111" s="165">
        <v>3477</v>
      </c>
      <c r="F111" s="165">
        <v>3790</v>
      </c>
      <c r="G111" s="165">
        <v>3569</v>
      </c>
      <c r="H111" s="166">
        <f t="shared" si="16"/>
        <v>-5.8311345646438029E-2</v>
      </c>
      <c r="I111" s="166">
        <f t="shared" si="17"/>
        <v>7.0021718700644889E-3</v>
      </c>
    </row>
    <row r="112" spans="2:9" x14ac:dyDescent="0.25">
      <c r="B112" s="160" t="s">
        <v>109</v>
      </c>
      <c r="C112" s="161">
        <v>5971</v>
      </c>
      <c r="D112" s="161">
        <v>12124</v>
      </c>
      <c r="E112" s="161">
        <v>19287</v>
      </c>
      <c r="F112" s="161">
        <v>17123</v>
      </c>
      <c r="G112" s="161">
        <v>17789</v>
      </c>
      <c r="H112" s="162">
        <f t="shared" si="16"/>
        <v>3.8895053436897697E-2</v>
      </c>
      <c r="I112" s="162">
        <f t="shared" si="17"/>
        <v>3.490099058463917E-2</v>
      </c>
    </row>
    <row r="113" spans="2:9" x14ac:dyDescent="0.25">
      <c r="B113" s="164" t="s">
        <v>112</v>
      </c>
      <c r="C113" s="165">
        <v>504</v>
      </c>
      <c r="D113" s="165">
        <v>8496</v>
      </c>
      <c r="E113" s="165">
        <v>12950</v>
      </c>
      <c r="F113" s="165">
        <v>11619</v>
      </c>
      <c r="G113" s="165">
        <v>11404</v>
      </c>
      <c r="H113" s="166">
        <f t="shared" si="16"/>
        <v>-1.8504174197435219E-2</v>
      </c>
      <c r="I113" s="166">
        <f t="shared" si="17"/>
        <v>2.2373989354501383E-2</v>
      </c>
    </row>
    <row r="114" spans="2:9" x14ac:dyDescent="0.25">
      <c r="B114" s="164" t="s">
        <v>115</v>
      </c>
      <c r="C114" s="165">
        <v>2266</v>
      </c>
      <c r="D114" s="165">
        <v>269</v>
      </c>
      <c r="E114" s="165">
        <v>725</v>
      </c>
      <c r="F114" s="165">
        <v>598</v>
      </c>
      <c r="G114" s="165">
        <v>831</v>
      </c>
      <c r="H114" s="166">
        <f t="shared" si="16"/>
        <v>0.38963210702341144</v>
      </c>
      <c r="I114" s="166">
        <f t="shared" si="17"/>
        <v>1.6303740050500394E-3</v>
      </c>
    </row>
    <row r="115" spans="2:9" x14ac:dyDescent="0.25">
      <c r="B115" s="164" t="s">
        <v>118</v>
      </c>
      <c r="C115" s="165">
        <v>731</v>
      </c>
      <c r="D115" s="165">
        <v>439</v>
      </c>
      <c r="E115" s="165">
        <v>1079</v>
      </c>
      <c r="F115" s="165">
        <v>1057</v>
      </c>
      <c r="G115" s="165">
        <v>1345</v>
      </c>
      <c r="H115" s="166">
        <f t="shared" si="16"/>
        <v>0.27246925260170296</v>
      </c>
      <c r="I115" s="166">
        <f t="shared" si="17"/>
        <v>2.6388123186429639E-3</v>
      </c>
    </row>
    <row r="116" spans="2:9" x14ac:dyDescent="0.25">
      <c r="B116" s="164" t="s">
        <v>125</v>
      </c>
      <c r="C116" s="165">
        <v>615</v>
      </c>
      <c r="D116" s="165">
        <v>306</v>
      </c>
      <c r="E116" s="165">
        <v>292</v>
      </c>
      <c r="F116" s="165">
        <v>239</v>
      </c>
      <c r="G116" s="165">
        <v>371</v>
      </c>
      <c r="H116" s="166">
        <f t="shared" si="16"/>
        <v>0.55230125523012563</v>
      </c>
      <c r="I116" s="166">
        <f t="shared" si="17"/>
        <v>7.2788057265170229E-4</v>
      </c>
    </row>
    <row r="117" spans="2:9" x14ac:dyDescent="0.25">
      <c r="B117" s="164" t="s">
        <v>121</v>
      </c>
      <c r="C117" s="165">
        <v>669</v>
      </c>
      <c r="D117" s="165">
        <v>229</v>
      </c>
      <c r="E117" s="165">
        <v>287</v>
      </c>
      <c r="F117" s="165">
        <v>333</v>
      </c>
      <c r="G117" s="165">
        <v>296</v>
      </c>
      <c r="H117" s="166">
        <f t="shared" si="16"/>
        <v>-0.11111111111111116</v>
      </c>
      <c r="I117" s="166">
        <f t="shared" si="17"/>
        <v>5.8073490432588649E-4</v>
      </c>
    </row>
    <row r="118" spans="2:9" x14ac:dyDescent="0.25">
      <c r="B118" s="164" t="s">
        <v>130</v>
      </c>
      <c r="C118" s="165">
        <v>10</v>
      </c>
      <c r="D118" s="165">
        <v>12</v>
      </c>
      <c r="E118" s="165">
        <v>14</v>
      </c>
      <c r="F118" s="165">
        <v>13</v>
      </c>
      <c r="G118" s="165">
        <v>20</v>
      </c>
      <c r="H118" s="166">
        <f t="shared" si="16"/>
        <v>0.53846153846153855</v>
      </c>
      <c r="I118" s="166">
        <f t="shared" si="17"/>
        <v>3.9238844886884223E-5</v>
      </c>
    </row>
    <row r="119" spans="2:9" x14ac:dyDescent="0.25">
      <c r="B119" s="164" t="s">
        <v>133</v>
      </c>
      <c r="C119" s="165">
        <v>15</v>
      </c>
      <c r="D119" s="165">
        <v>20</v>
      </c>
      <c r="E119" s="165">
        <v>15</v>
      </c>
      <c r="F119" s="165">
        <v>13</v>
      </c>
      <c r="G119" s="165">
        <v>29</v>
      </c>
      <c r="H119" s="166">
        <f t="shared" si="16"/>
        <v>1.2307692307692308</v>
      </c>
      <c r="I119" s="166">
        <f t="shared" si="17"/>
        <v>5.6896325085982119E-5</v>
      </c>
    </row>
    <row r="120" spans="2:9" x14ac:dyDescent="0.25">
      <c r="B120" s="169" t="s">
        <v>147</v>
      </c>
      <c r="C120" s="170">
        <f>C112-SUM(C113:C119)</f>
        <v>1161</v>
      </c>
      <c r="D120" s="170">
        <f>D112-SUM(D113:D119)</f>
        <v>2353</v>
      </c>
      <c r="E120" s="170">
        <f>E112-SUM(E113:E119)</f>
        <v>3925</v>
      </c>
      <c r="F120" s="170">
        <f>F112-SUM(F113:F119)</f>
        <v>3251</v>
      </c>
      <c r="G120" s="170">
        <f>G112-SUM(G113:G119)</f>
        <v>3493</v>
      </c>
      <c r="H120" s="171">
        <f t="shared" si="16"/>
        <v>7.4438634266379644E-2</v>
      </c>
      <c r="I120" s="171">
        <f t="shared" si="17"/>
        <v>6.8530642594943287E-3</v>
      </c>
    </row>
    <row r="121" spans="2:9" x14ac:dyDescent="0.25">
      <c r="B121" s="156" t="s">
        <v>53</v>
      </c>
      <c r="C121" s="175"/>
      <c r="D121" s="175"/>
      <c r="E121" s="175"/>
      <c r="F121" s="175"/>
      <c r="G121" s="175"/>
      <c r="H121" s="176"/>
      <c r="I121" s="176"/>
    </row>
    <row r="122" spans="2:9" x14ac:dyDescent="0.25">
      <c r="B122" s="157" t="s">
        <v>70</v>
      </c>
      <c r="C122" s="177">
        <v>13942</v>
      </c>
      <c r="D122" s="177">
        <v>18300</v>
      </c>
      <c r="E122" s="177">
        <v>18588</v>
      </c>
      <c r="F122" s="177">
        <v>20189</v>
      </c>
      <c r="G122" s="177">
        <v>21402</v>
      </c>
      <c r="H122" s="178">
        <f t="shared" ref="H122:H134" si="18">IFERROR(G122/F122-1,"-")</f>
        <v>6.0082222992718703E-2</v>
      </c>
      <c r="I122" s="178">
        <f t="shared" ref="I122:I134" si="19">G122/G$10</f>
        <v>4.1989487913454804E-2</v>
      </c>
    </row>
    <row r="123" spans="2:9" x14ac:dyDescent="0.25">
      <c r="B123" s="160" t="s">
        <v>99</v>
      </c>
      <c r="C123" s="161">
        <v>10189</v>
      </c>
      <c r="D123" s="161">
        <v>12819</v>
      </c>
      <c r="E123" s="161">
        <v>13450</v>
      </c>
      <c r="F123" s="161">
        <v>15322</v>
      </c>
      <c r="G123" s="161">
        <v>16942</v>
      </c>
      <c r="H123" s="162">
        <f t="shared" si="18"/>
        <v>0.10573032241221769</v>
      </c>
      <c r="I123" s="162">
        <f t="shared" si="19"/>
        <v>3.3239225503679623E-2</v>
      </c>
    </row>
    <row r="124" spans="2:9" x14ac:dyDescent="0.25">
      <c r="B124" s="164" t="s">
        <v>105</v>
      </c>
      <c r="C124" s="165">
        <v>5618</v>
      </c>
      <c r="D124" s="165">
        <v>7013</v>
      </c>
      <c r="E124" s="165">
        <v>6510</v>
      </c>
      <c r="F124" s="165">
        <v>7586</v>
      </c>
      <c r="G124" s="165">
        <v>9024</v>
      </c>
      <c r="H124" s="166">
        <f t="shared" si="18"/>
        <v>0.18955971526496174</v>
      </c>
      <c r="I124" s="166">
        <f t="shared" si="19"/>
        <v>1.7704566812962161E-2</v>
      </c>
    </row>
    <row r="125" spans="2:9" x14ac:dyDescent="0.25">
      <c r="B125" s="164" t="s">
        <v>102</v>
      </c>
      <c r="C125" s="165">
        <v>4571</v>
      </c>
      <c r="D125" s="165">
        <v>5806</v>
      </c>
      <c r="E125" s="165">
        <v>6940</v>
      </c>
      <c r="F125" s="165">
        <v>7736</v>
      </c>
      <c r="G125" s="165">
        <v>7918</v>
      </c>
      <c r="H125" s="166">
        <f t="shared" si="18"/>
        <v>2.3526370217166415E-2</v>
      </c>
      <c r="I125" s="166">
        <f t="shared" si="19"/>
        <v>1.5534658690717462E-2</v>
      </c>
    </row>
    <row r="126" spans="2:9" x14ac:dyDescent="0.25">
      <c r="B126" s="160" t="s">
        <v>109</v>
      </c>
      <c r="C126" s="161">
        <v>3753</v>
      </c>
      <c r="D126" s="161">
        <v>5481</v>
      </c>
      <c r="E126" s="161">
        <v>5138</v>
      </c>
      <c r="F126" s="161">
        <v>4867</v>
      </c>
      <c r="G126" s="161">
        <v>4460</v>
      </c>
      <c r="H126" s="162">
        <f t="shared" si="18"/>
        <v>-8.3624409287035184E-2</v>
      </c>
      <c r="I126" s="162">
        <f t="shared" si="19"/>
        <v>8.7502624097751808E-3</v>
      </c>
    </row>
    <row r="127" spans="2:9" x14ac:dyDescent="0.25">
      <c r="B127" s="164" t="s">
        <v>112</v>
      </c>
      <c r="C127" s="165">
        <v>137</v>
      </c>
      <c r="D127" s="165">
        <v>546</v>
      </c>
      <c r="E127" s="165">
        <v>895</v>
      </c>
      <c r="F127" s="165">
        <v>709</v>
      </c>
      <c r="G127" s="165">
        <v>387</v>
      </c>
      <c r="H127" s="166">
        <f t="shared" si="18"/>
        <v>-0.45416078984485186</v>
      </c>
      <c r="I127" s="166">
        <f t="shared" si="19"/>
        <v>7.5927164856120968E-4</v>
      </c>
    </row>
    <row r="128" spans="2:9" x14ac:dyDescent="0.25">
      <c r="B128" s="164" t="s">
        <v>115</v>
      </c>
      <c r="C128" s="165">
        <v>392</v>
      </c>
      <c r="D128" s="165">
        <v>366</v>
      </c>
      <c r="E128" s="165">
        <v>491</v>
      </c>
      <c r="F128" s="165">
        <v>441</v>
      </c>
      <c r="G128" s="165">
        <v>361</v>
      </c>
      <c r="H128" s="166">
        <f t="shared" si="18"/>
        <v>-0.18140589569161003</v>
      </c>
      <c r="I128" s="166">
        <f t="shared" si="19"/>
        <v>7.0826115020826018E-4</v>
      </c>
    </row>
    <row r="129" spans="2:9" x14ac:dyDescent="0.25">
      <c r="B129" s="164" t="s">
        <v>118</v>
      </c>
      <c r="C129" s="165">
        <v>427</v>
      </c>
      <c r="D129" s="165">
        <v>421</v>
      </c>
      <c r="E129" s="165">
        <v>481</v>
      </c>
      <c r="F129" s="165">
        <v>385</v>
      </c>
      <c r="G129" s="165">
        <v>421</v>
      </c>
      <c r="H129" s="166">
        <f t="shared" si="18"/>
        <v>9.3506493506493538E-2</v>
      </c>
      <c r="I129" s="166">
        <f t="shared" si="19"/>
        <v>8.2597768486891287E-4</v>
      </c>
    </row>
    <row r="130" spans="2:9" x14ac:dyDescent="0.25">
      <c r="B130" s="164" t="s">
        <v>125</v>
      </c>
      <c r="C130" s="165">
        <v>76</v>
      </c>
      <c r="D130" s="165">
        <v>131</v>
      </c>
      <c r="E130" s="165">
        <v>86</v>
      </c>
      <c r="F130" s="165">
        <v>104</v>
      </c>
      <c r="G130" s="165">
        <v>112</v>
      </c>
      <c r="H130" s="166">
        <f t="shared" si="18"/>
        <v>7.6923076923076872E-2</v>
      </c>
      <c r="I130" s="166">
        <f t="shared" si="19"/>
        <v>2.1973753136655163E-4</v>
      </c>
    </row>
    <row r="131" spans="2:9" x14ac:dyDescent="0.25">
      <c r="B131" s="164" t="s">
        <v>121</v>
      </c>
      <c r="C131" s="165">
        <v>64</v>
      </c>
      <c r="D131" s="165">
        <v>104</v>
      </c>
      <c r="E131" s="165">
        <v>91</v>
      </c>
      <c r="F131" s="165">
        <v>128</v>
      </c>
      <c r="G131" s="165">
        <v>117</v>
      </c>
      <c r="H131" s="166">
        <f t="shared" si="18"/>
        <v>-8.59375E-2</v>
      </c>
      <c r="I131" s="166">
        <f t="shared" si="19"/>
        <v>2.2954724258827269E-4</v>
      </c>
    </row>
    <row r="132" spans="2:9" x14ac:dyDescent="0.25">
      <c r="B132" s="164" t="s">
        <v>130</v>
      </c>
      <c r="C132" s="165">
        <v>4</v>
      </c>
      <c r="D132" s="165">
        <v>36</v>
      </c>
      <c r="E132" s="165">
        <v>31</v>
      </c>
      <c r="F132" s="165">
        <v>45</v>
      </c>
      <c r="G132" s="165">
        <v>27</v>
      </c>
      <c r="H132" s="166">
        <f t="shared" si="18"/>
        <v>-0.4</v>
      </c>
      <c r="I132" s="166">
        <f t="shared" si="19"/>
        <v>5.2972440597293696E-5</v>
      </c>
    </row>
    <row r="133" spans="2:9" x14ac:dyDescent="0.25">
      <c r="B133" s="164" t="s">
        <v>133</v>
      </c>
      <c r="C133" s="165">
        <v>27</v>
      </c>
      <c r="D133" s="165">
        <v>56</v>
      </c>
      <c r="E133" s="165">
        <v>36</v>
      </c>
      <c r="F133" s="165">
        <v>26</v>
      </c>
      <c r="G133" s="165">
        <v>23</v>
      </c>
      <c r="H133" s="166">
        <f t="shared" si="18"/>
        <v>-0.11538461538461542</v>
      </c>
      <c r="I133" s="166">
        <f t="shared" si="19"/>
        <v>4.512467161991685E-5</v>
      </c>
    </row>
    <row r="134" spans="2:9" x14ac:dyDescent="0.25">
      <c r="B134" s="169" t="s">
        <v>147</v>
      </c>
      <c r="C134" s="170">
        <f>C126-SUM(C127:C133)</f>
        <v>2626</v>
      </c>
      <c r="D134" s="170">
        <f>D126-SUM(D127:D133)</f>
        <v>3821</v>
      </c>
      <c r="E134" s="170">
        <f>E126-SUM(E127:E133)</f>
        <v>3027</v>
      </c>
      <c r="F134" s="170">
        <f>F126-SUM(F127:F133)</f>
        <v>3029</v>
      </c>
      <c r="G134" s="170">
        <f>G126-SUM(G127:G133)</f>
        <v>3012</v>
      </c>
      <c r="H134" s="171">
        <f t="shared" si="18"/>
        <v>-5.6124133377352114E-3</v>
      </c>
      <c r="I134" s="171">
        <f t="shared" si="19"/>
        <v>5.9093700399647639E-3</v>
      </c>
    </row>
    <row r="135" spans="2:9" x14ac:dyDescent="0.25">
      <c r="B135" s="156" t="s">
        <v>54</v>
      </c>
      <c r="C135" s="175"/>
      <c r="D135" s="175"/>
      <c r="E135" s="175"/>
      <c r="F135" s="175"/>
      <c r="G135" s="175"/>
      <c r="H135" s="176"/>
      <c r="I135" s="176"/>
    </row>
    <row r="136" spans="2:9" x14ac:dyDescent="0.25">
      <c r="B136" s="157" t="s">
        <v>70</v>
      </c>
      <c r="C136" s="177">
        <v>4233</v>
      </c>
      <c r="D136" s="177">
        <v>22878</v>
      </c>
      <c r="E136" s="177">
        <v>25226</v>
      </c>
      <c r="F136" s="177">
        <v>27463</v>
      </c>
      <c r="G136" s="177">
        <v>27371</v>
      </c>
      <c r="H136" s="178">
        <f t="shared" ref="H136:H148" si="20">IFERROR(G136/F136-1,"-")</f>
        <v>-3.3499617667407389E-3</v>
      </c>
      <c r="I136" s="178">
        <f t="shared" ref="I136:I148" si="21">G136/G$10</f>
        <v>5.37003211699454E-2</v>
      </c>
    </row>
    <row r="137" spans="2:9" x14ac:dyDescent="0.25">
      <c r="B137" s="160" t="s">
        <v>99</v>
      </c>
      <c r="C137" s="161">
        <v>2095</v>
      </c>
      <c r="D137" s="161">
        <v>2066</v>
      </c>
      <c r="E137" s="161">
        <v>3574</v>
      </c>
      <c r="F137" s="161">
        <v>3207</v>
      </c>
      <c r="G137" s="161">
        <v>3028</v>
      </c>
      <c r="H137" s="162">
        <f t="shared" si="20"/>
        <v>-5.5815403804178376E-2</v>
      </c>
      <c r="I137" s="162">
        <f t="shared" si="21"/>
        <v>5.9407611158742712E-3</v>
      </c>
    </row>
    <row r="138" spans="2:9" x14ac:dyDescent="0.25">
      <c r="B138" s="164" t="s">
        <v>105</v>
      </c>
      <c r="C138" s="165">
        <v>1203</v>
      </c>
      <c r="D138" s="165">
        <v>1254</v>
      </c>
      <c r="E138" s="165">
        <v>2253</v>
      </c>
      <c r="F138" s="165">
        <v>2269</v>
      </c>
      <c r="G138" s="165">
        <v>1716</v>
      </c>
      <c r="H138" s="166">
        <f t="shared" si="20"/>
        <v>-0.24371970030850598</v>
      </c>
      <c r="I138" s="166">
        <f t="shared" si="21"/>
        <v>3.3666928912946662E-3</v>
      </c>
    </row>
    <row r="139" spans="2:9" x14ac:dyDescent="0.25">
      <c r="B139" s="164" t="s">
        <v>102</v>
      </c>
      <c r="C139" s="165">
        <v>892</v>
      </c>
      <c r="D139" s="165">
        <v>812</v>
      </c>
      <c r="E139" s="165">
        <v>1321</v>
      </c>
      <c r="F139" s="165">
        <v>938</v>
      </c>
      <c r="G139" s="165">
        <v>1312</v>
      </c>
      <c r="H139" s="166">
        <f t="shared" si="20"/>
        <v>0.3987206823027718</v>
      </c>
      <c r="I139" s="166">
        <f t="shared" si="21"/>
        <v>2.574068224579605E-3</v>
      </c>
    </row>
    <row r="140" spans="2:9" x14ac:dyDescent="0.25">
      <c r="B140" s="160" t="s">
        <v>109</v>
      </c>
      <c r="C140" s="161">
        <v>2138</v>
      </c>
      <c r="D140" s="161">
        <v>20812</v>
      </c>
      <c r="E140" s="161">
        <v>21652</v>
      </c>
      <c r="F140" s="161">
        <v>24256</v>
      </c>
      <c r="G140" s="161">
        <v>24343</v>
      </c>
      <c r="H140" s="162">
        <f t="shared" si="20"/>
        <v>3.5867414248020868E-3</v>
      </c>
      <c r="I140" s="162">
        <f t="shared" si="21"/>
        <v>4.7759560054071129E-2</v>
      </c>
    </row>
    <row r="141" spans="2:9" x14ac:dyDescent="0.25">
      <c r="B141" s="164" t="s">
        <v>112</v>
      </c>
      <c r="C141" s="165">
        <v>92</v>
      </c>
      <c r="D141" s="165">
        <v>9563</v>
      </c>
      <c r="E141" s="165">
        <v>10394</v>
      </c>
      <c r="F141" s="165">
        <v>12794</v>
      </c>
      <c r="G141" s="165">
        <v>12623</v>
      </c>
      <c r="H141" s="166">
        <f t="shared" si="20"/>
        <v>-1.3365640143817359E-2</v>
      </c>
      <c r="I141" s="166">
        <f t="shared" si="21"/>
        <v>2.4765596950356975E-2</v>
      </c>
    </row>
    <row r="142" spans="2:9" x14ac:dyDescent="0.25">
      <c r="B142" s="164" t="s">
        <v>115</v>
      </c>
      <c r="C142" s="165">
        <v>288</v>
      </c>
      <c r="D142" s="165">
        <v>1579</v>
      </c>
      <c r="E142" s="165">
        <v>1989</v>
      </c>
      <c r="F142" s="165">
        <v>1652</v>
      </c>
      <c r="G142" s="165">
        <v>1939</v>
      </c>
      <c r="H142" s="166">
        <f t="shared" si="20"/>
        <v>0.17372881355932202</v>
      </c>
      <c r="I142" s="166">
        <f t="shared" si="21"/>
        <v>3.804206011783425E-3</v>
      </c>
    </row>
    <row r="143" spans="2:9" x14ac:dyDescent="0.25">
      <c r="B143" s="164" t="s">
        <v>118</v>
      </c>
      <c r="C143" s="165">
        <v>461</v>
      </c>
      <c r="D143" s="165">
        <v>2320</v>
      </c>
      <c r="E143" s="165">
        <v>2172</v>
      </c>
      <c r="F143" s="165">
        <v>2002</v>
      </c>
      <c r="G143" s="165">
        <v>1998</v>
      </c>
      <c r="H143" s="166">
        <f t="shared" si="20"/>
        <v>-1.9980019980020414E-3</v>
      </c>
      <c r="I143" s="166">
        <f t="shared" si="21"/>
        <v>3.9199606041997338E-3</v>
      </c>
    </row>
    <row r="144" spans="2:9" x14ac:dyDescent="0.25">
      <c r="B144" s="164" t="s">
        <v>125</v>
      </c>
      <c r="C144" s="165">
        <v>51</v>
      </c>
      <c r="D144" s="165">
        <v>752</v>
      </c>
      <c r="E144" s="165">
        <v>636</v>
      </c>
      <c r="F144" s="165">
        <v>581</v>
      </c>
      <c r="G144" s="165">
        <v>505</v>
      </c>
      <c r="H144" s="166">
        <f t="shared" si="20"/>
        <v>-0.13080895008605853</v>
      </c>
      <c r="I144" s="166">
        <f t="shared" si="21"/>
        <v>9.9078083339382652E-4</v>
      </c>
    </row>
    <row r="145" spans="2:9" x14ac:dyDescent="0.25">
      <c r="B145" s="164" t="s">
        <v>121</v>
      </c>
      <c r="C145" s="165">
        <v>105</v>
      </c>
      <c r="D145" s="165">
        <v>293</v>
      </c>
      <c r="E145" s="165">
        <v>465</v>
      </c>
      <c r="F145" s="165">
        <v>649</v>
      </c>
      <c r="G145" s="165">
        <v>378</v>
      </c>
      <c r="H145" s="166">
        <f t="shared" si="20"/>
        <v>-0.41756548536209548</v>
      </c>
      <c r="I145" s="166">
        <f t="shared" si="21"/>
        <v>7.4161416836211172E-4</v>
      </c>
    </row>
    <row r="146" spans="2:9" x14ac:dyDescent="0.25">
      <c r="B146" s="164" t="s">
        <v>130</v>
      </c>
      <c r="C146" s="165">
        <v>2</v>
      </c>
      <c r="D146" s="165">
        <v>23</v>
      </c>
      <c r="E146" s="165">
        <v>2</v>
      </c>
      <c r="F146" s="165">
        <v>6</v>
      </c>
      <c r="G146" s="165">
        <v>28</v>
      </c>
      <c r="H146" s="166">
        <f t="shared" si="20"/>
        <v>3.666666666666667</v>
      </c>
      <c r="I146" s="166">
        <f t="shared" si="21"/>
        <v>5.4934382841637908E-5</v>
      </c>
    </row>
    <row r="147" spans="2:9" x14ac:dyDescent="0.25">
      <c r="B147" s="164" t="s">
        <v>133</v>
      </c>
      <c r="C147" s="165">
        <v>4</v>
      </c>
      <c r="D147" s="165">
        <v>12</v>
      </c>
      <c r="E147" s="165">
        <v>13</v>
      </c>
      <c r="F147" s="165">
        <v>5</v>
      </c>
      <c r="G147" s="165">
        <v>25</v>
      </c>
      <c r="H147" s="166">
        <f t="shared" si="20"/>
        <v>4</v>
      </c>
      <c r="I147" s="166">
        <f t="shared" si="21"/>
        <v>4.9048556108605273E-5</v>
      </c>
    </row>
    <row r="148" spans="2:9" x14ac:dyDescent="0.25">
      <c r="B148" s="169" t="s">
        <v>147</v>
      </c>
      <c r="C148" s="170">
        <f>C140-SUM(C141:C147)</f>
        <v>1135</v>
      </c>
      <c r="D148" s="170">
        <f>D140-SUM(D141:D147)</f>
        <v>6270</v>
      </c>
      <c r="E148" s="170">
        <f>E140-SUM(E141:E147)</f>
        <v>5981</v>
      </c>
      <c r="F148" s="170">
        <f>F140-SUM(F141:F147)</f>
        <v>6567</v>
      </c>
      <c r="G148" s="170">
        <f>G140-SUM(G141:G147)</f>
        <v>6847</v>
      </c>
      <c r="H148" s="171">
        <f t="shared" si="20"/>
        <v>4.2637429572103036E-2</v>
      </c>
      <c r="I148" s="171">
        <f t="shared" si="21"/>
        <v>1.3433418547024813E-2</v>
      </c>
    </row>
    <row r="149" spans="2:9" x14ac:dyDescent="0.25">
      <c r="B149" s="156" t="s">
        <v>55</v>
      </c>
      <c r="C149" s="175"/>
      <c r="D149" s="175"/>
      <c r="E149" s="175"/>
      <c r="F149" s="175"/>
      <c r="G149" s="175"/>
      <c r="H149" s="176"/>
      <c r="I149" s="176"/>
    </row>
    <row r="150" spans="2:9" x14ac:dyDescent="0.25">
      <c r="B150" s="157" t="s">
        <v>70</v>
      </c>
      <c r="C150" s="177">
        <v>5588</v>
      </c>
      <c r="D150" s="177">
        <v>8148</v>
      </c>
      <c r="E150" s="177">
        <v>10937</v>
      </c>
      <c r="F150" s="177">
        <v>9202</v>
      </c>
      <c r="G150" s="177">
        <v>10712</v>
      </c>
      <c r="H150" s="178">
        <f t="shared" ref="H150:H162" si="22">IFERROR(G150/F150-1,"-")</f>
        <v>0.16409476200825912</v>
      </c>
      <c r="I150" s="178">
        <f t="shared" ref="I150:I162" si="23">G150/G$10</f>
        <v>2.1016325321415188E-2</v>
      </c>
    </row>
    <row r="151" spans="2:9" x14ac:dyDescent="0.25">
      <c r="B151" s="160" t="s">
        <v>99</v>
      </c>
      <c r="C151" s="161">
        <v>4081</v>
      </c>
      <c r="D151" s="161">
        <v>4596</v>
      </c>
      <c r="E151" s="161">
        <v>6722</v>
      </c>
      <c r="F151" s="161">
        <v>4497</v>
      </c>
      <c r="G151" s="161">
        <v>5859</v>
      </c>
      <c r="H151" s="162">
        <f t="shared" si="22"/>
        <v>0.3028685790527017</v>
      </c>
      <c r="I151" s="162">
        <f t="shared" si="23"/>
        <v>1.1495019609612732E-2</v>
      </c>
    </row>
    <row r="152" spans="2:9" x14ac:dyDescent="0.25">
      <c r="B152" s="164" t="s">
        <v>105</v>
      </c>
      <c r="C152" s="165">
        <v>3396</v>
      </c>
      <c r="D152" s="165">
        <v>3320</v>
      </c>
      <c r="E152" s="165">
        <v>4419</v>
      </c>
      <c r="F152" s="165">
        <v>1970</v>
      </c>
      <c r="G152" s="165">
        <v>3289</v>
      </c>
      <c r="H152" s="166">
        <f t="shared" si="22"/>
        <v>0.66954314720812191</v>
      </c>
      <c r="I152" s="166">
        <f t="shared" si="23"/>
        <v>6.4528280416481102E-3</v>
      </c>
    </row>
    <row r="153" spans="2:9" x14ac:dyDescent="0.25">
      <c r="B153" s="164" t="s">
        <v>102</v>
      </c>
      <c r="C153" s="165">
        <v>685</v>
      </c>
      <c r="D153" s="165">
        <v>1276</v>
      </c>
      <c r="E153" s="165">
        <v>2303</v>
      </c>
      <c r="F153" s="165">
        <v>2527</v>
      </c>
      <c r="G153" s="165">
        <v>2570</v>
      </c>
      <c r="H153" s="166">
        <f t="shared" si="22"/>
        <v>1.7016224772457456E-2</v>
      </c>
      <c r="I153" s="166">
        <f t="shared" si="23"/>
        <v>5.0421915679646221E-3</v>
      </c>
    </row>
    <row r="154" spans="2:9" x14ac:dyDescent="0.25">
      <c r="B154" s="160" t="s">
        <v>109</v>
      </c>
      <c r="C154" s="161">
        <v>1507</v>
      </c>
      <c r="D154" s="161">
        <v>3552</v>
      </c>
      <c r="E154" s="161">
        <v>4215</v>
      </c>
      <c r="F154" s="161">
        <v>4705</v>
      </c>
      <c r="G154" s="161">
        <v>4853</v>
      </c>
      <c r="H154" s="162">
        <f t="shared" si="22"/>
        <v>3.145589798087145E-2</v>
      </c>
      <c r="I154" s="162">
        <f t="shared" si="23"/>
        <v>9.5213057118024563E-3</v>
      </c>
    </row>
    <row r="155" spans="2:9" x14ac:dyDescent="0.25">
      <c r="B155" s="164" t="s">
        <v>112</v>
      </c>
      <c r="C155" s="165">
        <v>45</v>
      </c>
      <c r="D155" s="165">
        <v>1423</v>
      </c>
      <c r="E155" s="165">
        <v>1591</v>
      </c>
      <c r="F155" s="165">
        <v>1561</v>
      </c>
      <c r="G155" s="165">
        <v>1568</v>
      </c>
      <c r="H155" s="166">
        <f t="shared" si="22"/>
        <v>4.484304932735439E-3</v>
      </c>
      <c r="I155" s="166">
        <f t="shared" si="23"/>
        <v>3.0763254391317227E-3</v>
      </c>
    </row>
    <row r="156" spans="2:9" x14ac:dyDescent="0.25">
      <c r="B156" s="164" t="s">
        <v>115</v>
      </c>
      <c r="C156" s="165">
        <v>325</v>
      </c>
      <c r="D156" s="165">
        <v>850</v>
      </c>
      <c r="E156" s="165">
        <v>642</v>
      </c>
      <c r="F156" s="165">
        <v>640</v>
      </c>
      <c r="G156" s="165">
        <v>685</v>
      </c>
      <c r="H156" s="166">
        <f t="shared" si="22"/>
        <v>7.03125E-2</v>
      </c>
      <c r="I156" s="166">
        <f t="shared" si="23"/>
        <v>1.3439304373757846E-3</v>
      </c>
    </row>
    <row r="157" spans="2:9" x14ac:dyDescent="0.25">
      <c r="B157" s="164" t="s">
        <v>118</v>
      </c>
      <c r="C157" s="165">
        <v>457</v>
      </c>
      <c r="D157" s="165">
        <v>327</v>
      </c>
      <c r="E157" s="165">
        <v>715</v>
      </c>
      <c r="F157" s="165">
        <v>904</v>
      </c>
      <c r="G157" s="165">
        <v>1326</v>
      </c>
      <c r="H157" s="166">
        <f t="shared" si="22"/>
        <v>0.4668141592920354</v>
      </c>
      <c r="I157" s="166">
        <f t="shared" si="23"/>
        <v>2.6015354160004237E-3</v>
      </c>
    </row>
    <row r="158" spans="2:9" x14ac:dyDescent="0.25">
      <c r="B158" s="164" t="s">
        <v>125</v>
      </c>
      <c r="C158" s="165">
        <v>54</v>
      </c>
      <c r="D158" s="165">
        <v>97</v>
      </c>
      <c r="E158" s="165">
        <v>78</v>
      </c>
      <c r="F158" s="165">
        <v>183</v>
      </c>
      <c r="G158" s="165">
        <v>131</v>
      </c>
      <c r="H158" s="166">
        <f t="shared" si="22"/>
        <v>-0.28415300546448086</v>
      </c>
      <c r="I158" s="166">
        <f t="shared" si="23"/>
        <v>2.5701443400909165E-4</v>
      </c>
    </row>
    <row r="159" spans="2:9" x14ac:dyDescent="0.25">
      <c r="B159" s="164" t="s">
        <v>121</v>
      </c>
      <c r="C159" s="165">
        <v>94</v>
      </c>
      <c r="D159" s="165">
        <v>256</v>
      </c>
      <c r="E159" s="165">
        <v>260</v>
      </c>
      <c r="F159" s="165">
        <v>193</v>
      </c>
      <c r="G159" s="165">
        <v>123</v>
      </c>
      <c r="H159" s="166">
        <f t="shared" si="22"/>
        <v>-0.36269430051813467</v>
      </c>
      <c r="I159" s="166">
        <f t="shared" si="23"/>
        <v>2.4131889605433796E-4</v>
      </c>
    </row>
    <row r="160" spans="2:9" x14ac:dyDescent="0.25">
      <c r="B160" s="164" t="s">
        <v>130</v>
      </c>
      <c r="C160" s="165">
        <v>2</v>
      </c>
      <c r="D160" s="165">
        <v>5</v>
      </c>
      <c r="E160" s="165">
        <v>17</v>
      </c>
      <c r="F160" s="165">
        <v>2</v>
      </c>
      <c r="G160" s="165">
        <v>4</v>
      </c>
      <c r="H160" s="166">
        <f t="shared" si="22"/>
        <v>1</v>
      </c>
      <c r="I160" s="166">
        <f t="shared" si="23"/>
        <v>7.8477689773768442E-6</v>
      </c>
    </row>
    <row r="161" spans="2:9" x14ac:dyDescent="0.25">
      <c r="B161" s="164" t="s">
        <v>133</v>
      </c>
      <c r="C161" s="165">
        <v>6</v>
      </c>
      <c r="D161" s="165">
        <v>15</v>
      </c>
      <c r="E161" s="165">
        <v>8</v>
      </c>
      <c r="F161" s="165">
        <v>3</v>
      </c>
      <c r="G161" s="165">
        <v>5</v>
      </c>
      <c r="H161" s="166">
        <f t="shared" si="22"/>
        <v>0.66666666666666674</v>
      </c>
      <c r="I161" s="166">
        <f t="shared" si="23"/>
        <v>9.8097112217210557E-6</v>
      </c>
    </row>
    <row r="162" spans="2:9" x14ac:dyDescent="0.25">
      <c r="B162" s="169" t="s">
        <v>147</v>
      </c>
      <c r="C162" s="170">
        <f>C154-SUM(C155:C161)</f>
        <v>524</v>
      </c>
      <c r="D162" s="170">
        <f>D154-SUM(D155:D161)</f>
        <v>579</v>
      </c>
      <c r="E162" s="170">
        <f>E154-SUM(E155:E161)</f>
        <v>904</v>
      </c>
      <c r="F162" s="170">
        <f>F154-SUM(F155:F161)</f>
        <v>1219</v>
      </c>
      <c r="G162" s="170">
        <f>G154-SUM(G155:G161)</f>
        <v>1011</v>
      </c>
      <c r="H162" s="171">
        <f t="shared" si="22"/>
        <v>-0.17063166529942575</v>
      </c>
      <c r="I162" s="171">
        <f t="shared" si="23"/>
        <v>1.9835236090319972E-3</v>
      </c>
    </row>
    <row r="163" spans="2:9" x14ac:dyDescent="0.25">
      <c r="C163" s="81"/>
      <c r="D163" s="81"/>
      <c r="E163" s="81"/>
      <c r="F163" s="81"/>
      <c r="G163" s="81"/>
      <c r="H163" s="81"/>
    </row>
    <row r="164" spans="2:9" x14ac:dyDescent="0.25">
      <c r="B164" s="107" t="s">
        <v>57</v>
      </c>
      <c r="C164" s="107"/>
      <c r="D164" s="107"/>
      <c r="E164" s="107"/>
      <c r="F164" s="107"/>
      <c r="G164" s="107"/>
      <c r="H164" s="107"/>
      <c r="I164" s="107"/>
    </row>
  </sheetData>
  <mergeCells count="3">
    <mergeCell ref="B5:I5"/>
    <mergeCell ref="K5:R5"/>
    <mergeCell ref="C7:I7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791AB-C145-4FF8-A7B6-EA35A07B9F32}">
  <sheetPr>
    <tabColor rgb="FFFFC000"/>
    <pageSetUpPr fitToPage="1"/>
  </sheetPr>
  <dimension ref="A1:X163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3" customWidth="1"/>
    <col min="10" max="10" width="10.5703125" customWidth="1"/>
    <col min="11" max="11" width="11.5703125" customWidth="1"/>
    <col min="12" max="12" width="10.5703125" customWidth="1"/>
    <col min="14" max="14" width="11.42578125" customWidth="1"/>
    <col min="15" max="24" width="11.42578125" hidden="1" customWidth="1"/>
  </cols>
  <sheetData>
    <row r="1" spans="1:24" ht="42.75" customHeight="1" x14ac:dyDescent="0.25"/>
    <row r="4" spans="1:24" ht="42" customHeight="1" thickBot="1" x14ac:dyDescent="0.3">
      <c r="B4" s="278" t="str">
        <f>CONCATENATE("Viajeros alojados en los establecimientos alojativos de Tenerife según lugar de residencia y municipio de alojamiento (hotel + apartamento)")</f>
        <v>Viajeros alojados en los establecimientos alojativos de Tenerife según lugar de residencia y municipio de alojamiento (hotel + apartamento)</v>
      </c>
      <c r="C4" s="278"/>
      <c r="D4" s="278"/>
      <c r="E4" s="278"/>
      <c r="F4" s="278"/>
      <c r="G4" s="278"/>
      <c r="H4" s="278"/>
      <c r="I4" s="278"/>
      <c r="J4" s="278"/>
      <c r="K4" s="278"/>
      <c r="L4" s="278"/>
      <c r="O4" s="278" t="s">
        <v>267</v>
      </c>
      <c r="P4" s="278"/>
      <c r="Q4" s="278"/>
      <c r="R4" s="278"/>
      <c r="S4" s="278"/>
      <c r="T4" s="278"/>
      <c r="U4" s="278"/>
      <c r="V4" s="278"/>
      <c r="W4" s="278"/>
      <c r="X4" s="278"/>
    </row>
    <row r="5" spans="1:24" ht="6" customHeight="1" x14ac:dyDescent="0.25"/>
    <row r="6" spans="1:24" ht="15.75" x14ac:dyDescent="0.25">
      <c r="B6" s="146"/>
      <c r="C6" s="311" t="s">
        <v>45</v>
      </c>
      <c r="D6" s="312"/>
      <c r="E6" s="312"/>
      <c r="F6" s="312"/>
      <c r="G6" s="312"/>
      <c r="H6" s="312"/>
      <c r="I6" s="312"/>
      <c r="J6" s="312"/>
      <c r="K6" s="312"/>
      <c r="L6" s="312"/>
    </row>
    <row r="7" spans="1:24" s="147" customFormat="1" ht="72" customHeight="1" x14ac:dyDescent="0.25">
      <c r="B7" s="148"/>
      <c r="C7" s="173" t="s">
        <v>268</v>
      </c>
      <c r="D7" s="173" t="s">
        <v>259</v>
      </c>
      <c r="E7" s="173" t="s">
        <v>260</v>
      </c>
      <c r="F7" s="173" t="s">
        <v>261</v>
      </c>
      <c r="G7" s="173" t="s">
        <v>262</v>
      </c>
      <c r="H7" s="173" t="s">
        <v>263</v>
      </c>
      <c r="I7" s="173" t="s">
        <v>264</v>
      </c>
      <c r="J7" s="174" t="str">
        <f>CONCATENATE("var. ",RIGHT(I7,2),"/",RIGHT(H7,2))</f>
        <v>var. 25/24</v>
      </c>
      <c r="K7" s="173" t="str">
        <f>CONCATENATE("dif. ",RIGHT(I7,2),"/",RIGHT(H7,2))</f>
        <v>dif. 25/24</v>
      </c>
      <c r="L7" s="174" t="str">
        <f>CONCATENATE("Cuota s/ total lugares de residencia ",RIGHT(I7,4))</f>
        <v>Cuota s/ total lugares de residencia 2025</v>
      </c>
      <c r="O7" s="148"/>
      <c r="P7" s="173" t="s">
        <v>259</v>
      </c>
      <c r="Q7" s="173" t="s">
        <v>260</v>
      </c>
      <c r="R7" s="173" t="s">
        <v>261</v>
      </c>
      <c r="S7" s="173" t="s">
        <v>262</v>
      </c>
      <c r="T7" s="173" t="s">
        <v>263</v>
      </c>
      <c r="U7" s="173" t="s">
        <v>264</v>
      </c>
      <c r="V7" s="174" t="str">
        <f>CONCATENATE("var. ",RIGHT(U7,2),"/",RIGHT(T7,2))</f>
        <v>var. 25/24</v>
      </c>
      <c r="W7" s="173" t="str">
        <f>CONCATENATE("dif. ",RIGHT(U7,2),"/",RIGHT(T7,2))</f>
        <v>dif. 25/24</v>
      </c>
      <c r="X7" s="174" t="str">
        <f>CONCATENATE("Cuota s/ total lugares de residencia ",RIGHT(U7,4))</f>
        <v>Cuota s/ total lugares de residencia 2025</v>
      </c>
    </row>
    <row r="8" spans="1:24" x14ac:dyDescent="0.25">
      <c r="A8" s="1"/>
      <c r="B8" s="153" t="s">
        <v>45</v>
      </c>
      <c r="C8" s="154"/>
      <c r="D8" s="154"/>
      <c r="E8" s="154"/>
      <c r="F8" s="154"/>
      <c r="G8" s="154"/>
      <c r="H8" s="154"/>
      <c r="I8" s="155"/>
      <c r="J8" s="155"/>
      <c r="K8" s="155"/>
      <c r="L8" s="154"/>
      <c r="O8" s="156" t="s">
        <v>53</v>
      </c>
      <c r="P8" s="154"/>
      <c r="Q8" s="154"/>
      <c r="R8" s="154"/>
      <c r="S8" s="154"/>
      <c r="T8" s="154"/>
      <c r="U8" s="155"/>
      <c r="V8" s="155"/>
      <c r="W8" s="155"/>
      <c r="X8" s="154"/>
    </row>
    <row r="9" spans="1:24" x14ac:dyDescent="0.25">
      <c r="A9" s="1"/>
      <c r="B9" s="157" t="s">
        <v>70</v>
      </c>
      <c r="C9" s="177">
        <v>2828227</v>
      </c>
      <c r="D9" s="177">
        <v>1203953</v>
      </c>
      <c r="E9" s="177">
        <v>581695</v>
      </c>
      <c r="F9" s="177">
        <v>2601415</v>
      </c>
      <c r="G9" s="177">
        <v>2985674</v>
      </c>
      <c r="H9" s="177">
        <v>3185454</v>
      </c>
      <c r="I9" s="177">
        <v>3137076</v>
      </c>
      <c r="J9" s="178">
        <f>IFERROR(I9/H9-1,"-")</f>
        <v>-1.5187160134787714E-2</v>
      </c>
      <c r="K9" s="177">
        <f t="shared" ref="K9:K21" si="0">I9-H9</f>
        <v>-48378</v>
      </c>
      <c r="L9" s="178">
        <f t="shared" ref="L9:L21" si="1">I9/I$9</f>
        <v>1</v>
      </c>
      <c r="O9" s="157" t="s">
        <v>70</v>
      </c>
      <c r="P9" s="177">
        <v>55825</v>
      </c>
      <c r="Q9" s="177">
        <v>60421</v>
      </c>
      <c r="R9" s="177">
        <v>109587</v>
      </c>
      <c r="S9" s="177">
        <v>132057</v>
      </c>
      <c r="T9" s="177">
        <v>131356</v>
      </c>
      <c r="U9" s="177">
        <v>146899</v>
      </c>
      <c r="V9" s="178">
        <f>IFERROR(U9/T9-1,"-")</f>
        <v>0.11832729376655804</v>
      </c>
      <c r="W9" s="177">
        <f>U9-T9</f>
        <v>15543</v>
      </c>
      <c r="X9" s="178">
        <f t="shared" ref="X9:X21" si="2">U9/U$9</f>
        <v>1</v>
      </c>
    </row>
    <row r="10" spans="1:24" x14ac:dyDescent="0.25">
      <c r="A10" s="1" t="s">
        <v>98</v>
      </c>
      <c r="B10" s="160" t="s">
        <v>99</v>
      </c>
      <c r="C10" s="161">
        <v>515664</v>
      </c>
      <c r="D10" s="161">
        <v>167645</v>
      </c>
      <c r="E10" s="161">
        <v>289695</v>
      </c>
      <c r="F10" s="161">
        <v>485338</v>
      </c>
      <c r="G10" s="161">
        <v>531539</v>
      </c>
      <c r="H10" s="161">
        <v>528153</v>
      </c>
      <c r="I10" s="161">
        <v>522237</v>
      </c>
      <c r="J10" s="179">
        <f>IFERROR(I10/H10-1,"-")</f>
        <v>-1.1201299623404548E-2</v>
      </c>
      <c r="K10" s="160">
        <f t="shared" si="0"/>
        <v>-5916</v>
      </c>
      <c r="L10" s="162">
        <f t="shared" si="1"/>
        <v>0.16647253684641367</v>
      </c>
      <c r="O10" s="160" t="s">
        <v>99</v>
      </c>
      <c r="P10" s="161">
        <v>28023</v>
      </c>
      <c r="Q10" s="161">
        <v>39488</v>
      </c>
      <c r="R10" s="161">
        <v>64967</v>
      </c>
      <c r="S10" s="161">
        <v>78816</v>
      </c>
      <c r="T10" s="161">
        <v>78033</v>
      </c>
      <c r="U10" s="161">
        <v>90645</v>
      </c>
      <c r="V10" s="179">
        <f>IFERROR(U10/T10-1,"-")</f>
        <v>0.16162392833801076</v>
      </c>
      <c r="W10" s="160">
        <f t="shared" ref="W10:W20" si="3">U10-T10</f>
        <v>12612</v>
      </c>
      <c r="X10" s="162">
        <f t="shared" si="2"/>
        <v>0.61705661713149851</v>
      </c>
    </row>
    <row r="11" spans="1:24" x14ac:dyDescent="0.25">
      <c r="A11" s="163" t="s">
        <v>105</v>
      </c>
      <c r="B11" s="164" t="s">
        <v>105</v>
      </c>
      <c r="C11" s="165">
        <v>187622</v>
      </c>
      <c r="D11" s="165">
        <v>59011</v>
      </c>
      <c r="E11" s="165">
        <v>188547</v>
      </c>
      <c r="F11" s="165">
        <v>197229</v>
      </c>
      <c r="G11" s="165">
        <v>210052</v>
      </c>
      <c r="H11" s="165">
        <v>203279</v>
      </c>
      <c r="I11" s="165">
        <v>185957</v>
      </c>
      <c r="J11" s="180">
        <f>IFERROR(I11/H11-1,"-")</f>
        <v>-8.5212933947923841E-2</v>
      </c>
      <c r="K11" s="164">
        <f t="shared" si="0"/>
        <v>-17322</v>
      </c>
      <c r="L11" s="166">
        <f t="shared" si="1"/>
        <v>5.927717403084911E-2</v>
      </c>
      <c r="O11" s="164" t="s">
        <v>105</v>
      </c>
      <c r="P11" s="165">
        <v>14178</v>
      </c>
      <c r="Q11" s="165">
        <v>21239</v>
      </c>
      <c r="R11" s="165">
        <v>32360</v>
      </c>
      <c r="S11" s="165">
        <v>36519</v>
      </c>
      <c r="T11" s="165">
        <v>34958</v>
      </c>
      <c r="U11" s="165">
        <v>45236</v>
      </c>
      <c r="V11" s="180">
        <f>IFERROR(U11/T11-1,"-")</f>
        <v>0.29400995480290626</v>
      </c>
      <c r="W11" s="164">
        <f t="shared" si="3"/>
        <v>10278</v>
      </c>
      <c r="X11" s="166">
        <f t="shared" si="2"/>
        <v>0.30793946861449023</v>
      </c>
    </row>
    <row r="12" spans="1:24" x14ac:dyDescent="0.25">
      <c r="A12" s="163" t="s">
        <v>102</v>
      </c>
      <c r="B12" s="164" t="s">
        <v>102</v>
      </c>
      <c r="C12" s="165">
        <v>328042</v>
      </c>
      <c r="D12" s="165">
        <v>108634</v>
      </c>
      <c r="E12" s="165">
        <v>101148</v>
      </c>
      <c r="F12" s="165">
        <v>288109</v>
      </c>
      <c r="G12" s="165">
        <v>321487</v>
      </c>
      <c r="H12" s="165">
        <v>324874</v>
      </c>
      <c r="I12" s="165">
        <v>336280</v>
      </c>
      <c r="J12" s="180">
        <f>IFERROR(I12/H12-1,"-")</f>
        <v>3.5108996103104584E-2</v>
      </c>
      <c r="K12" s="164">
        <f t="shared" si="0"/>
        <v>11406</v>
      </c>
      <c r="L12" s="166">
        <f t="shared" si="1"/>
        <v>0.10719536281556456</v>
      </c>
      <c r="O12" s="164" t="s">
        <v>102</v>
      </c>
      <c r="P12" s="165">
        <v>13845</v>
      </c>
      <c r="Q12" s="165">
        <v>18249</v>
      </c>
      <c r="R12" s="165">
        <v>32607</v>
      </c>
      <c r="S12" s="165">
        <v>42297</v>
      </c>
      <c r="T12" s="165">
        <v>43075</v>
      </c>
      <c r="U12" s="165">
        <v>45409</v>
      </c>
      <c r="V12" s="180">
        <f>IFERROR(U12/T12-1,"-")</f>
        <v>5.4184561810795229E-2</v>
      </c>
      <c r="W12" s="164">
        <f t="shared" si="3"/>
        <v>2334</v>
      </c>
      <c r="X12" s="166">
        <f t="shared" si="2"/>
        <v>0.30911714851700828</v>
      </c>
    </row>
    <row r="13" spans="1:24" x14ac:dyDescent="0.25">
      <c r="A13" s="1"/>
      <c r="B13" s="160" t="s">
        <v>109</v>
      </c>
      <c r="C13" s="161">
        <v>2312563</v>
      </c>
      <c r="D13" s="161">
        <v>1036308</v>
      </c>
      <c r="E13" s="161">
        <v>292000</v>
      </c>
      <c r="F13" s="161">
        <v>2116077</v>
      </c>
      <c r="G13" s="161">
        <v>2454135</v>
      </c>
      <c r="H13" s="161">
        <v>2657301</v>
      </c>
      <c r="I13" s="161">
        <v>2614839</v>
      </c>
      <c r="J13" s="179">
        <f>IFERROR(I13/H13-1,"-")</f>
        <v>-1.5979371550306154E-2</v>
      </c>
      <c r="K13" s="160">
        <f t="shared" si="0"/>
        <v>-42462</v>
      </c>
      <c r="L13" s="162">
        <f t="shared" si="1"/>
        <v>0.83352746315358628</v>
      </c>
      <c r="O13" s="160" t="s">
        <v>109</v>
      </c>
      <c r="P13" s="161">
        <v>27802</v>
      </c>
      <c r="Q13" s="161">
        <v>20933</v>
      </c>
      <c r="R13" s="161">
        <v>44620</v>
      </c>
      <c r="S13" s="161">
        <v>53241</v>
      </c>
      <c r="T13" s="161">
        <v>53323</v>
      </c>
      <c r="U13" s="161">
        <v>56254</v>
      </c>
      <c r="V13" s="179">
        <f>IFERROR(U13/T13-1,"-")</f>
        <v>5.496689983684333E-2</v>
      </c>
      <c r="W13" s="160">
        <f t="shared" si="3"/>
        <v>2931</v>
      </c>
      <c r="X13" s="162">
        <f t="shared" si="2"/>
        <v>0.38294338286850149</v>
      </c>
    </row>
    <row r="14" spans="1:24" s="57" customFormat="1" x14ac:dyDescent="0.25">
      <c r="B14" s="164" t="s">
        <v>112</v>
      </c>
      <c r="C14" s="165">
        <v>1037733</v>
      </c>
      <c r="D14" s="165">
        <v>424326</v>
      </c>
      <c r="E14" s="165">
        <v>18625</v>
      </c>
      <c r="F14" s="165">
        <v>930564</v>
      </c>
      <c r="G14" s="165">
        <v>1108103</v>
      </c>
      <c r="H14" s="165">
        <v>1207223</v>
      </c>
      <c r="I14" s="165">
        <v>1201223</v>
      </c>
      <c r="J14" s="180">
        <f t="shared" ref="J14:J21" si="4">IFERROR(I14/H14-1,"-")</f>
        <v>-4.9700842346442897E-3</v>
      </c>
      <c r="K14" s="164">
        <f t="shared" si="0"/>
        <v>-6000</v>
      </c>
      <c r="L14" s="166">
        <f t="shared" si="1"/>
        <v>0.38291166678779859</v>
      </c>
      <c r="O14" s="164" t="s">
        <v>112</v>
      </c>
      <c r="P14" s="165">
        <v>3076</v>
      </c>
      <c r="Q14" s="165">
        <v>654</v>
      </c>
      <c r="R14" s="165">
        <v>4499</v>
      </c>
      <c r="S14" s="165">
        <v>6414</v>
      </c>
      <c r="T14" s="165">
        <v>6590</v>
      </c>
      <c r="U14" s="165">
        <v>5889</v>
      </c>
      <c r="V14" s="180">
        <f t="shared" ref="V14:V21" si="5">IFERROR(U14/T14-1,"-")</f>
        <v>-0.10637329286798181</v>
      </c>
      <c r="W14" s="164">
        <f t="shared" si="3"/>
        <v>-701</v>
      </c>
      <c r="X14" s="166">
        <f t="shared" si="2"/>
        <v>4.0088768473577084E-2</v>
      </c>
    </row>
    <row r="15" spans="1:24" s="57" customFormat="1" x14ac:dyDescent="0.25">
      <c r="B15" s="164" t="s">
        <v>115</v>
      </c>
      <c r="C15" s="165">
        <v>314997</v>
      </c>
      <c r="D15" s="165">
        <v>134974</v>
      </c>
      <c r="E15" s="165">
        <v>45898</v>
      </c>
      <c r="F15" s="165">
        <v>228350</v>
      </c>
      <c r="G15" s="165">
        <v>267358</v>
      </c>
      <c r="H15" s="165">
        <v>284443</v>
      </c>
      <c r="I15" s="165">
        <v>275648</v>
      </c>
      <c r="J15" s="180">
        <f t="shared" si="4"/>
        <v>-3.092007889102566E-2</v>
      </c>
      <c r="K15" s="164">
        <f t="shared" si="0"/>
        <v>-8795</v>
      </c>
      <c r="L15" s="166">
        <f t="shared" si="1"/>
        <v>8.7867810661902995E-2</v>
      </c>
      <c r="O15" s="164" t="s">
        <v>115</v>
      </c>
      <c r="P15" s="165">
        <v>3190</v>
      </c>
      <c r="Q15" s="165">
        <v>2227</v>
      </c>
      <c r="R15" s="165">
        <v>5139</v>
      </c>
      <c r="S15" s="165">
        <v>8179</v>
      </c>
      <c r="T15" s="165">
        <v>7800</v>
      </c>
      <c r="U15" s="165">
        <v>8602</v>
      </c>
      <c r="V15" s="180">
        <f t="shared" si="5"/>
        <v>0.10282051282051285</v>
      </c>
      <c r="W15" s="164">
        <f t="shared" si="3"/>
        <v>802</v>
      </c>
      <c r="X15" s="166">
        <f t="shared" si="2"/>
        <v>5.8557240008441175E-2</v>
      </c>
    </row>
    <row r="16" spans="1:24" x14ac:dyDescent="0.25">
      <c r="A16" s="1"/>
      <c r="B16" s="164" t="s">
        <v>118</v>
      </c>
      <c r="C16" s="165">
        <v>101055</v>
      </c>
      <c r="D16" s="165">
        <v>44807</v>
      </c>
      <c r="E16" s="165">
        <v>50237</v>
      </c>
      <c r="F16" s="165">
        <v>110914</v>
      </c>
      <c r="G16" s="165">
        <v>128974</v>
      </c>
      <c r="H16" s="165">
        <v>141932</v>
      </c>
      <c r="I16" s="165">
        <v>130336</v>
      </c>
      <c r="J16" s="180">
        <f t="shared" si="4"/>
        <v>-8.17010962996364E-2</v>
      </c>
      <c r="K16" s="164">
        <f t="shared" si="0"/>
        <v>-11596</v>
      </c>
      <c r="L16" s="166">
        <f t="shared" si="1"/>
        <v>4.1546969215919535E-2</v>
      </c>
      <c r="O16" s="164" t="s">
        <v>118</v>
      </c>
      <c r="P16" s="165">
        <v>2062</v>
      </c>
      <c r="Q16" s="165">
        <v>3034</v>
      </c>
      <c r="R16" s="165">
        <v>4333</v>
      </c>
      <c r="S16" s="165">
        <v>4805</v>
      </c>
      <c r="T16" s="165">
        <v>4451</v>
      </c>
      <c r="U16" s="165">
        <v>4524</v>
      </c>
      <c r="V16" s="180">
        <f t="shared" si="5"/>
        <v>1.6400808807009559E-2</v>
      </c>
      <c r="W16" s="164">
        <f t="shared" si="3"/>
        <v>73</v>
      </c>
      <c r="X16" s="166">
        <f t="shared" si="2"/>
        <v>3.0796669820761204E-2</v>
      </c>
    </row>
    <row r="17" spans="1:24" x14ac:dyDescent="0.25">
      <c r="A17" s="1"/>
      <c r="B17" s="164" t="s">
        <v>125</v>
      </c>
      <c r="C17" s="165">
        <v>83146</v>
      </c>
      <c r="D17" s="165">
        <v>34172</v>
      </c>
      <c r="E17" s="165">
        <v>10713</v>
      </c>
      <c r="F17" s="165">
        <v>109049</v>
      </c>
      <c r="G17" s="165">
        <v>96268</v>
      </c>
      <c r="H17" s="165">
        <v>102294</v>
      </c>
      <c r="I17" s="165">
        <v>94577</v>
      </c>
      <c r="J17" s="180">
        <f t="shared" si="4"/>
        <v>-7.5439419711811007E-2</v>
      </c>
      <c r="K17" s="164">
        <f t="shared" si="0"/>
        <v>-7717</v>
      </c>
      <c r="L17" s="166">
        <f t="shared" si="1"/>
        <v>3.0148137947566461E-2</v>
      </c>
      <c r="O17" s="164" t="s">
        <v>125</v>
      </c>
      <c r="P17" s="165">
        <v>560</v>
      </c>
      <c r="Q17" s="165">
        <v>320</v>
      </c>
      <c r="R17" s="165">
        <v>1256</v>
      </c>
      <c r="S17" s="165">
        <v>1296</v>
      </c>
      <c r="T17" s="165">
        <v>1341</v>
      </c>
      <c r="U17" s="165">
        <v>1402</v>
      </c>
      <c r="V17" s="180">
        <f t="shared" si="5"/>
        <v>4.5488441461595919E-2</v>
      </c>
      <c r="W17" s="164">
        <f t="shared" si="3"/>
        <v>61</v>
      </c>
      <c r="X17" s="166">
        <f t="shared" si="2"/>
        <v>9.5439723891925753E-3</v>
      </c>
    </row>
    <row r="18" spans="1:24" x14ac:dyDescent="0.25">
      <c r="A18" s="1"/>
      <c r="B18" s="164" t="s">
        <v>121</v>
      </c>
      <c r="C18" s="165">
        <v>80654</v>
      </c>
      <c r="D18" s="165">
        <v>38408</v>
      </c>
      <c r="E18" s="165">
        <v>16145</v>
      </c>
      <c r="F18" s="165">
        <v>88976</v>
      </c>
      <c r="G18" s="165">
        <v>85647</v>
      </c>
      <c r="H18" s="165">
        <v>93857</v>
      </c>
      <c r="I18" s="165">
        <v>85771</v>
      </c>
      <c r="J18" s="180">
        <f t="shared" si="4"/>
        <v>-8.6152338131412654E-2</v>
      </c>
      <c r="K18" s="164">
        <f t="shared" si="0"/>
        <v>-8086</v>
      </c>
      <c r="L18" s="166">
        <f t="shared" si="1"/>
        <v>2.7341065374252967E-2</v>
      </c>
      <c r="O18" s="164" t="s">
        <v>121</v>
      </c>
      <c r="P18" s="165">
        <v>480</v>
      </c>
      <c r="Q18" s="165">
        <v>319</v>
      </c>
      <c r="R18" s="165">
        <v>940</v>
      </c>
      <c r="S18" s="165">
        <v>1012</v>
      </c>
      <c r="T18" s="165">
        <v>1079</v>
      </c>
      <c r="U18" s="165">
        <v>1193</v>
      </c>
      <c r="V18" s="180">
        <f t="shared" si="5"/>
        <v>0.10565338276181646</v>
      </c>
      <c r="W18" s="164">
        <f t="shared" si="3"/>
        <v>114</v>
      </c>
      <c r="X18" s="166">
        <f t="shared" si="2"/>
        <v>8.1212261485782752E-3</v>
      </c>
    </row>
    <row r="19" spans="1:24" x14ac:dyDescent="0.25">
      <c r="A19" s="1"/>
      <c r="B19" s="164" t="s">
        <v>130</v>
      </c>
      <c r="C19" s="165">
        <v>57042</v>
      </c>
      <c r="D19" s="165">
        <v>35462</v>
      </c>
      <c r="E19" s="165">
        <v>915</v>
      </c>
      <c r="F19" s="165">
        <v>40864</v>
      </c>
      <c r="G19" s="165">
        <v>52027</v>
      </c>
      <c r="H19" s="165">
        <v>47998</v>
      </c>
      <c r="I19" s="165">
        <v>45472</v>
      </c>
      <c r="J19" s="180">
        <f t="shared" si="4"/>
        <v>-5.2627192799699962E-2</v>
      </c>
      <c r="K19" s="164">
        <f t="shared" si="0"/>
        <v>-2526</v>
      </c>
      <c r="L19" s="166">
        <f t="shared" si="1"/>
        <v>1.449502657889066E-2</v>
      </c>
      <c r="O19" s="164" t="s">
        <v>130</v>
      </c>
      <c r="P19" s="165">
        <v>673</v>
      </c>
      <c r="Q19" s="165">
        <v>35</v>
      </c>
      <c r="R19" s="165">
        <v>613</v>
      </c>
      <c r="S19" s="165">
        <v>817</v>
      </c>
      <c r="T19" s="165">
        <v>928</v>
      </c>
      <c r="U19" s="165">
        <v>734</v>
      </c>
      <c r="V19" s="180">
        <f t="shared" si="5"/>
        <v>-0.20905172413793105</v>
      </c>
      <c r="W19" s="164">
        <f t="shared" si="3"/>
        <v>-194</v>
      </c>
      <c r="X19" s="166">
        <f t="shared" si="2"/>
        <v>4.9966303378511769E-3</v>
      </c>
    </row>
    <row r="20" spans="1:24" x14ac:dyDescent="0.25">
      <c r="A20" s="163" t="s">
        <v>146</v>
      </c>
      <c r="B20" s="164" t="s">
        <v>133</v>
      </c>
      <c r="C20" s="165">
        <v>74682</v>
      </c>
      <c r="D20" s="165">
        <v>51540</v>
      </c>
      <c r="E20" s="165">
        <v>3417</v>
      </c>
      <c r="F20" s="165">
        <v>33100</v>
      </c>
      <c r="G20" s="165">
        <v>48129</v>
      </c>
      <c r="H20" s="165">
        <v>52445</v>
      </c>
      <c r="I20" s="165">
        <v>41410</v>
      </c>
      <c r="J20" s="180">
        <f t="shared" si="4"/>
        <v>-0.21041090666412432</v>
      </c>
      <c r="K20" s="164">
        <f t="shared" si="0"/>
        <v>-11035</v>
      </c>
      <c r="L20" s="166">
        <f t="shared" si="1"/>
        <v>1.3200190240848484E-2</v>
      </c>
      <c r="O20" s="164" t="s">
        <v>133</v>
      </c>
      <c r="P20" s="165">
        <v>1018</v>
      </c>
      <c r="Q20" s="165">
        <v>149</v>
      </c>
      <c r="R20" s="165">
        <v>1077</v>
      </c>
      <c r="S20" s="165">
        <v>1517</v>
      </c>
      <c r="T20" s="165">
        <v>1432</v>
      </c>
      <c r="U20" s="165">
        <v>1392</v>
      </c>
      <c r="V20" s="180">
        <f t="shared" si="5"/>
        <v>-2.7932960893854775E-2</v>
      </c>
      <c r="W20" s="164">
        <f t="shared" si="3"/>
        <v>-40</v>
      </c>
      <c r="X20" s="166">
        <f t="shared" si="2"/>
        <v>9.4758984063880621E-3</v>
      </c>
    </row>
    <row r="21" spans="1:24" x14ac:dyDescent="0.25">
      <c r="A21" s="168" t="s">
        <v>147</v>
      </c>
      <c r="B21" s="169" t="s">
        <v>147</v>
      </c>
      <c r="C21" s="170">
        <f t="shared" ref="C21" si="6">C13-SUM(C14:C20)</f>
        <v>563254</v>
      </c>
      <c r="D21" s="170">
        <f t="shared" ref="D21:I21" si="7">D13-SUM(D14:D20)</f>
        <v>272619</v>
      </c>
      <c r="E21" s="170">
        <f t="shared" si="7"/>
        <v>146050</v>
      </c>
      <c r="F21" s="170">
        <f t="shared" si="7"/>
        <v>574260</v>
      </c>
      <c r="G21" s="170">
        <f t="shared" si="7"/>
        <v>667629</v>
      </c>
      <c r="H21" s="170">
        <f t="shared" si="7"/>
        <v>727109</v>
      </c>
      <c r="I21" s="170">
        <f t="shared" si="7"/>
        <v>740402</v>
      </c>
      <c r="J21" s="181">
        <f t="shared" si="4"/>
        <v>1.8281990733163722E-2</v>
      </c>
      <c r="K21" s="169">
        <f t="shared" si="0"/>
        <v>13293</v>
      </c>
      <c r="L21" s="171">
        <f t="shared" si="1"/>
        <v>0.23601659634640665</v>
      </c>
      <c r="O21" s="169" t="s">
        <v>147</v>
      </c>
      <c r="P21" s="170">
        <f t="shared" ref="P21:U21" si="8">P13-SUM(P14:P20)</f>
        <v>16743</v>
      </c>
      <c r="Q21" s="170">
        <f t="shared" si="8"/>
        <v>14195</v>
      </c>
      <c r="R21" s="170">
        <f t="shared" si="8"/>
        <v>26763</v>
      </c>
      <c r="S21" s="170">
        <f t="shared" si="8"/>
        <v>29201</v>
      </c>
      <c r="T21" s="170">
        <f t="shared" si="8"/>
        <v>29702</v>
      </c>
      <c r="U21" s="170">
        <f t="shared" si="8"/>
        <v>32518</v>
      </c>
      <c r="V21" s="181">
        <f t="shared" si="5"/>
        <v>9.4808430408726663E-2</v>
      </c>
      <c r="W21" s="169">
        <f>U21-T21</f>
        <v>2816</v>
      </c>
      <c r="X21" s="171">
        <f t="shared" si="2"/>
        <v>0.22136297728371193</v>
      </c>
    </row>
    <row r="22" spans="1:24" x14ac:dyDescent="0.25">
      <c r="A22" s="1"/>
      <c r="B22" s="156" t="s">
        <v>46</v>
      </c>
      <c r="C22" s="154"/>
      <c r="D22" s="154"/>
      <c r="E22" s="154"/>
      <c r="F22" s="154"/>
      <c r="G22" s="154"/>
      <c r="H22" s="154"/>
      <c r="I22" s="154"/>
      <c r="J22" s="155"/>
      <c r="K22" s="155"/>
      <c r="L22" s="154"/>
    </row>
    <row r="23" spans="1:24" x14ac:dyDescent="0.25">
      <c r="A23" s="1"/>
      <c r="B23" s="157" t="s">
        <v>70</v>
      </c>
      <c r="C23" s="177">
        <v>1049475</v>
      </c>
      <c r="D23" s="177">
        <v>439711</v>
      </c>
      <c r="E23" s="177">
        <v>213521</v>
      </c>
      <c r="F23" s="177">
        <v>995985</v>
      </c>
      <c r="G23" s="177">
        <v>1104273</v>
      </c>
      <c r="H23" s="177">
        <v>1156836</v>
      </c>
      <c r="I23" s="177">
        <v>1098545</v>
      </c>
      <c r="J23" s="178">
        <f>IFERROR(I23/H23-1,"-")</f>
        <v>-5.0388300502404837E-2</v>
      </c>
      <c r="K23" s="177">
        <f>I23-H23</f>
        <v>-58291</v>
      </c>
      <c r="L23" s="178">
        <f t="shared" ref="L23:L35" si="9">I23/I$9</f>
        <v>0.35018118783223612</v>
      </c>
    </row>
    <row r="24" spans="1:24" x14ac:dyDescent="0.25">
      <c r="A24" s="1" t="s">
        <v>98</v>
      </c>
      <c r="B24" s="160" t="s">
        <v>99</v>
      </c>
      <c r="C24" s="161">
        <v>100616</v>
      </c>
      <c r="D24" s="161">
        <v>24401</v>
      </c>
      <c r="E24" s="161">
        <v>102997</v>
      </c>
      <c r="F24" s="161">
        <v>96500</v>
      </c>
      <c r="G24" s="161">
        <v>89535</v>
      </c>
      <c r="H24" s="161">
        <v>78610</v>
      </c>
      <c r="I24" s="161">
        <v>69532</v>
      </c>
      <c r="J24" s="179">
        <f>IFERROR(I24/H24-1,"-")</f>
        <v>-0.11548149090446513</v>
      </c>
      <c r="K24" s="160">
        <f t="shared" ref="K24:K34" si="10">I24-H24</f>
        <v>-9078</v>
      </c>
      <c r="L24" s="162">
        <f t="shared" si="9"/>
        <v>2.2164588935684057E-2</v>
      </c>
    </row>
    <row r="25" spans="1:24" x14ac:dyDescent="0.25">
      <c r="A25" s="163" t="s">
        <v>105</v>
      </c>
      <c r="B25" s="164" t="s">
        <v>105</v>
      </c>
      <c r="C25" s="165">
        <v>47827</v>
      </c>
      <c r="D25" s="165">
        <v>10723</v>
      </c>
      <c r="E25" s="165">
        <v>64209</v>
      </c>
      <c r="F25" s="165">
        <v>42222</v>
      </c>
      <c r="G25" s="165">
        <v>37061</v>
      </c>
      <c r="H25" s="165">
        <v>29344</v>
      </c>
      <c r="I25" s="165">
        <v>28690</v>
      </c>
      <c r="J25" s="180">
        <f>IFERROR(I25/H25-1,"-")</f>
        <v>-2.2287350054525645E-2</v>
      </c>
      <c r="K25" s="164">
        <f t="shared" si="10"/>
        <v>-654</v>
      </c>
      <c r="L25" s="166">
        <f t="shared" si="9"/>
        <v>9.1454590198006037E-3</v>
      </c>
    </row>
    <row r="26" spans="1:24" x14ac:dyDescent="0.25">
      <c r="A26" s="163" t="s">
        <v>102</v>
      </c>
      <c r="B26" s="164" t="s">
        <v>102</v>
      </c>
      <c r="C26" s="165">
        <v>52789</v>
      </c>
      <c r="D26" s="165">
        <v>13678</v>
      </c>
      <c r="E26" s="165">
        <v>38788</v>
      </c>
      <c r="F26" s="165">
        <v>54278</v>
      </c>
      <c r="G26" s="165">
        <v>52474</v>
      </c>
      <c r="H26" s="165">
        <v>49266</v>
      </c>
      <c r="I26" s="165">
        <v>40842</v>
      </c>
      <c r="J26" s="180">
        <f>IFERROR(I26/H26-1,"-")</f>
        <v>-0.17099013518450856</v>
      </c>
      <c r="K26" s="164">
        <f t="shared" si="10"/>
        <v>-8424</v>
      </c>
      <c r="L26" s="166">
        <f t="shared" si="9"/>
        <v>1.3019129915883453E-2</v>
      </c>
    </row>
    <row r="27" spans="1:24" x14ac:dyDescent="0.25">
      <c r="A27" s="1"/>
      <c r="B27" s="160" t="s">
        <v>109</v>
      </c>
      <c r="C27" s="161">
        <v>948859</v>
      </c>
      <c r="D27" s="161">
        <v>415310</v>
      </c>
      <c r="E27" s="161">
        <v>110524</v>
      </c>
      <c r="F27" s="161">
        <v>899485</v>
      </c>
      <c r="G27" s="161">
        <v>1014738</v>
      </c>
      <c r="H27" s="161">
        <v>1078226</v>
      </c>
      <c r="I27" s="161">
        <v>1029013</v>
      </c>
      <c r="J27" s="179">
        <f>IFERROR(I27/H27-1,"-")</f>
        <v>-4.5642564731327218E-2</v>
      </c>
      <c r="K27" s="160">
        <f t="shared" si="10"/>
        <v>-49213</v>
      </c>
      <c r="L27" s="162">
        <f t="shared" si="9"/>
        <v>0.3280165988965521</v>
      </c>
    </row>
    <row r="28" spans="1:24" s="57" customFormat="1" x14ac:dyDescent="0.25">
      <c r="B28" s="164" t="s">
        <v>112</v>
      </c>
      <c r="C28" s="165">
        <v>467750</v>
      </c>
      <c r="D28" s="165">
        <v>190725</v>
      </c>
      <c r="E28" s="165">
        <v>6934</v>
      </c>
      <c r="F28" s="165">
        <v>435000</v>
      </c>
      <c r="G28" s="165">
        <v>512220</v>
      </c>
      <c r="H28" s="165">
        <v>549563</v>
      </c>
      <c r="I28" s="165">
        <v>534615</v>
      </c>
      <c r="J28" s="180">
        <f t="shared" ref="J28:J35" si="11">IFERROR(I28/H28-1,"-")</f>
        <v>-2.7199793290305196E-2</v>
      </c>
      <c r="K28" s="164">
        <f t="shared" si="10"/>
        <v>-14948</v>
      </c>
      <c r="L28" s="166">
        <f t="shared" si="9"/>
        <v>0.17041824935066921</v>
      </c>
    </row>
    <row r="29" spans="1:24" s="57" customFormat="1" x14ac:dyDescent="0.25">
      <c r="B29" s="164" t="s">
        <v>115</v>
      </c>
      <c r="C29" s="165">
        <v>124521</v>
      </c>
      <c r="D29" s="165">
        <v>50910</v>
      </c>
      <c r="E29" s="165">
        <v>18570</v>
      </c>
      <c r="F29" s="165">
        <v>99278</v>
      </c>
      <c r="G29" s="165">
        <v>110170</v>
      </c>
      <c r="H29" s="165">
        <v>111801</v>
      </c>
      <c r="I29" s="165">
        <v>103862</v>
      </c>
      <c r="J29" s="180">
        <f t="shared" si="11"/>
        <v>-7.1010098299657431E-2</v>
      </c>
      <c r="K29" s="164">
        <f t="shared" si="10"/>
        <v>-7939</v>
      </c>
      <c r="L29" s="166">
        <f t="shared" si="9"/>
        <v>3.3107900478024761E-2</v>
      </c>
    </row>
    <row r="30" spans="1:24" x14ac:dyDescent="0.25">
      <c r="A30" s="1"/>
      <c r="B30" s="164" t="s">
        <v>118</v>
      </c>
      <c r="C30" s="165">
        <v>33258</v>
      </c>
      <c r="D30" s="165">
        <v>16130</v>
      </c>
      <c r="E30" s="165">
        <v>18251</v>
      </c>
      <c r="F30" s="165">
        <v>37612</v>
      </c>
      <c r="G30" s="165">
        <v>39466</v>
      </c>
      <c r="H30" s="165">
        <v>40091</v>
      </c>
      <c r="I30" s="165">
        <v>31625</v>
      </c>
      <c r="J30" s="180">
        <f t="shared" si="11"/>
        <v>-0.21116958918460504</v>
      </c>
      <c r="K30" s="164">
        <f t="shared" si="10"/>
        <v>-8466</v>
      </c>
      <c r="L30" s="166">
        <f t="shared" si="9"/>
        <v>1.0081043621512516E-2</v>
      </c>
    </row>
    <row r="31" spans="1:24" x14ac:dyDescent="0.25">
      <c r="A31" s="1"/>
      <c r="B31" s="164" t="s">
        <v>125</v>
      </c>
      <c r="C31" s="165">
        <v>37236</v>
      </c>
      <c r="D31" s="165">
        <v>15632</v>
      </c>
      <c r="E31" s="165">
        <v>4369</v>
      </c>
      <c r="F31" s="165">
        <v>51109</v>
      </c>
      <c r="G31" s="165">
        <v>42938</v>
      </c>
      <c r="H31" s="165">
        <v>42702</v>
      </c>
      <c r="I31" s="165">
        <v>39958</v>
      </c>
      <c r="J31" s="180">
        <f t="shared" si="11"/>
        <v>-6.4259285279377965E-2</v>
      </c>
      <c r="K31" s="164">
        <f t="shared" si="10"/>
        <v>-2744</v>
      </c>
      <c r="L31" s="166">
        <f t="shared" si="9"/>
        <v>1.2737338846747735E-2</v>
      </c>
    </row>
    <row r="32" spans="1:24" x14ac:dyDescent="0.25">
      <c r="A32" s="1"/>
      <c r="B32" s="164" t="s">
        <v>121</v>
      </c>
      <c r="C32" s="165">
        <v>43762</v>
      </c>
      <c r="D32" s="165">
        <v>20897</v>
      </c>
      <c r="E32" s="165">
        <v>9058</v>
      </c>
      <c r="F32" s="165">
        <v>52480</v>
      </c>
      <c r="G32" s="165">
        <v>46351</v>
      </c>
      <c r="H32" s="165">
        <v>49060</v>
      </c>
      <c r="I32" s="165">
        <v>46472</v>
      </c>
      <c r="J32" s="180">
        <f t="shared" si="11"/>
        <v>-5.2751732572360321E-2</v>
      </c>
      <c r="K32" s="164">
        <f t="shared" si="10"/>
        <v>-2588</v>
      </c>
      <c r="L32" s="166">
        <f t="shared" si="9"/>
        <v>1.4813794756645998E-2</v>
      </c>
    </row>
    <row r="33" spans="1:12" x14ac:dyDescent="0.25">
      <c r="A33" s="1"/>
      <c r="B33" s="164" t="s">
        <v>130</v>
      </c>
      <c r="C33" s="165">
        <v>24056</v>
      </c>
      <c r="D33" s="165">
        <v>14159</v>
      </c>
      <c r="E33" s="165">
        <v>200</v>
      </c>
      <c r="F33" s="165">
        <v>15872</v>
      </c>
      <c r="G33" s="165">
        <v>18346</v>
      </c>
      <c r="H33" s="165">
        <v>17354</v>
      </c>
      <c r="I33" s="165">
        <v>15812</v>
      </c>
      <c r="J33" s="180">
        <f t="shared" si="11"/>
        <v>-8.8855595251815189E-2</v>
      </c>
      <c r="K33" s="164">
        <f t="shared" si="10"/>
        <v>-1542</v>
      </c>
      <c r="L33" s="166">
        <f t="shared" si="9"/>
        <v>5.0403624266673807E-3</v>
      </c>
    </row>
    <row r="34" spans="1:12" x14ac:dyDescent="0.25">
      <c r="A34" s="163" t="s">
        <v>146</v>
      </c>
      <c r="B34" s="164" t="s">
        <v>133</v>
      </c>
      <c r="C34" s="165">
        <v>23519</v>
      </c>
      <c r="D34" s="165">
        <v>16043</v>
      </c>
      <c r="E34" s="165">
        <v>430</v>
      </c>
      <c r="F34" s="165">
        <v>10169</v>
      </c>
      <c r="G34" s="165">
        <v>16799</v>
      </c>
      <c r="H34" s="165">
        <v>17210</v>
      </c>
      <c r="I34" s="165">
        <v>13635</v>
      </c>
      <c r="J34" s="180">
        <f t="shared" si="11"/>
        <v>-0.20772806507844277</v>
      </c>
      <c r="K34" s="164">
        <f t="shared" si="10"/>
        <v>-3575</v>
      </c>
      <c r="L34" s="166">
        <f t="shared" si="9"/>
        <v>4.3464041036940133E-3</v>
      </c>
    </row>
    <row r="35" spans="1:12" x14ac:dyDescent="0.25">
      <c r="A35" s="168" t="s">
        <v>147</v>
      </c>
      <c r="B35" s="169" t="s">
        <v>147</v>
      </c>
      <c r="C35" s="170">
        <f t="shared" ref="C35" si="12">C27-SUM(C28:C34)</f>
        <v>194757</v>
      </c>
      <c r="D35" s="170">
        <f t="shared" ref="D35:I35" si="13">D27-SUM(D28:D34)</f>
        <v>90814</v>
      </c>
      <c r="E35" s="170">
        <f t="shared" si="13"/>
        <v>52712</v>
      </c>
      <c r="F35" s="170">
        <f t="shared" si="13"/>
        <v>197965</v>
      </c>
      <c r="G35" s="170">
        <f t="shared" si="13"/>
        <v>228448</v>
      </c>
      <c r="H35" s="170">
        <f t="shared" si="13"/>
        <v>250445</v>
      </c>
      <c r="I35" s="170">
        <f t="shared" si="13"/>
        <v>243034</v>
      </c>
      <c r="J35" s="181">
        <f t="shared" si="11"/>
        <v>-2.9591327437161863E-2</v>
      </c>
      <c r="K35" s="169">
        <f>I35-H35</f>
        <v>-7411</v>
      </c>
      <c r="L35" s="171">
        <f t="shared" si="9"/>
        <v>7.747150531259045E-2</v>
      </c>
    </row>
    <row r="36" spans="1:12" x14ac:dyDescent="0.25">
      <c r="A36" s="1"/>
      <c r="B36" s="156" t="s">
        <v>47</v>
      </c>
      <c r="C36" s="154"/>
      <c r="D36" s="154"/>
      <c r="E36" s="154"/>
      <c r="F36" s="154"/>
      <c r="G36" s="154"/>
      <c r="H36" s="154"/>
      <c r="I36" s="154"/>
      <c r="J36" s="155"/>
      <c r="K36" s="155"/>
      <c r="L36" s="154"/>
    </row>
    <row r="37" spans="1:12" x14ac:dyDescent="0.25">
      <c r="A37" s="1"/>
      <c r="B37" s="157" t="s">
        <v>70</v>
      </c>
      <c r="C37" s="177">
        <v>781980</v>
      </c>
      <c r="D37" s="177">
        <v>324285</v>
      </c>
      <c r="E37" s="177">
        <v>93297</v>
      </c>
      <c r="F37" s="177">
        <v>684265</v>
      </c>
      <c r="G37" s="177">
        <v>769680</v>
      </c>
      <c r="H37" s="177">
        <v>813934</v>
      </c>
      <c r="I37" s="177">
        <v>831831</v>
      </c>
      <c r="J37" s="178">
        <f>IFERROR(I37/H37-1,"-")</f>
        <v>2.1988269319134002E-2</v>
      </c>
      <c r="K37" s="177">
        <f>I37-H37</f>
        <v>17897</v>
      </c>
      <c r="L37" s="178">
        <f t="shared" ref="L37:L49" si="14">I37/I$9</f>
        <v>0.26516125207039931</v>
      </c>
    </row>
    <row r="38" spans="1:12" x14ac:dyDescent="0.25">
      <c r="A38" s="1" t="s">
        <v>98</v>
      </c>
      <c r="B38" s="160" t="s">
        <v>99</v>
      </c>
      <c r="C38" s="161">
        <v>61010</v>
      </c>
      <c r="D38" s="161">
        <v>17239</v>
      </c>
      <c r="E38" s="161">
        <v>28671</v>
      </c>
      <c r="F38" s="161">
        <v>55882</v>
      </c>
      <c r="G38" s="161">
        <v>53759</v>
      </c>
      <c r="H38" s="161">
        <v>53134</v>
      </c>
      <c r="I38" s="161">
        <v>55422</v>
      </c>
      <c r="J38" s="179">
        <f>IFERROR(I38/H38-1,"-")</f>
        <v>4.3060940264237679E-2</v>
      </c>
      <c r="K38" s="160">
        <f t="shared" ref="K38:K48" si="15">I38-H38</f>
        <v>2288</v>
      </c>
      <c r="L38" s="162">
        <f t="shared" si="14"/>
        <v>1.7666769947556258E-2</v>
      </c>
    </row>
    <row r="39" spans="1:12" x14ac:dyDescent="0.25">
      <c r="A39" s="163" t="s">
        <v>105</v>
      </c>
      <c r="B39" s="164" t="s">
        <v>105</v>
      </c>
      <c r="C39" s="165">
        <v>23644</v>
      </c>
      <c r="D39" s="165">
        <v>6178</v>
      </c>
      <c r="E39" s="165">
        <v>22154</v>
      </c>
      <c r="F39" s="165">
        <v>22273</v>
      </c>
      <c r="G39" s="165">
        <v>21187</v>
      </c>
      <c r="H39" s="165">
        <v>23115</v>
      </c>
      <c r="I39" s="165">
        <v>22008</v>
      </c>
      <c r="J39" s="180">
        <f>IFERROR(I39/H39-1,"-")</f>
        <v>-4.7890979883192686E-2</v>
      </c>
      <c r="K39" s="164">
        <f t="shared" si="15"/>
        <v>-1107</v>
      </c>
      <c r="L39" s="166">
        <f t="shared" si="14"/>
        <v>7.015450056039446E-3</v>
      </c>
    </row>
    <row r="40" spans="1:12" x14ac:dyDescent="0.25">
      <c r="A40" s="163" t="s">
        <v>102</v>
      </c>
      <c r="B40" s="164" t="s">
        <v>102</v>
      </c>
      <c r="C40" s="165">
        <v>37366</v>
      </c>
      <c r="D40" s="165">
        <v>11061</v>
      </c>
      <c r="E40" s="165">
        <v>6517</v>
      </c>
      <c r="F40" s="165">
        <v>33609</v>
      </c>
      <c r="G40" s="165">
        <v>32572</v>
      </c>
      <c r="H40" s="165">
        <v>30019</v>
      </c>
      <c r="I40" s="165">
        <v>33414</v>
      </c>
      <c r="J40" s="180">
        <f>IFERROR(I40/H40-1,"-")</f>
        <v>0.11309503980812163</v>
      </c>
      <c r="K40" s="164">
        <f t="shared" si="15"/>
        <v>3395</v>
      </c>
      <c r="L40" s="166">
        <f t="shared" si="14"/>
        <v>1.0651319891516815E-2</v>
      </c>
    </row>
    <row r="41" spans="1:12" x14ac:dyDescent="0.25">
      <c r="A41" s="1"/>
      <c r="B41" s="160" t="s">
        <v>109</v>
      </c>
      <c r="C41" s="161">
        <v>720970</v>
      </c>
      <c r="D41" s="161">
        <v>307046</v>
      </c>
      <c r="E41" s="161">
        <v>64626</v>
      </c>
      <c r="F41" s="161">
        <v>628383</v>
      </c>
      <c r="G41" s="161">
        <v>715921</v>
      </c>
      <c r="H41" s="161">
        <v>760800</v>
      </c>
      <c r="I41" s="161">
        <v>776409</v>
      </c>
      <c r="J41" s="179">
        <f>IFERROR(I41/H41-1,"-")</f>
        <v>2.0516561514195564E-2</v>
      </c>
      <c r="K41" s="160">
        <f t="shared" si="15"/>
        <v>15609</v>
      </c>
      <c r="L41" s="162">
        <f t="shared" si="14"/>
        <v>0.24749448212284306</v>
      </c>
    </row>
    <row r="42" spans="1:12" s="57" customFormat="1" x14ac:dyDescent="0.25">
      <c r="B42" s="164" t="s">
        <v>112</v>
      </c>
      <c r="C42" s="165">
        <v>382110</v>
      </c>
      <c r="D42" s="165">
        <v>140970</v>
      </c>
      <c r="E42" s="165">
        <v>3417</v>
      </c>
      <c r="F42" s="165">
        <v>306586</v>
      </c>
      <c r="G42" s="165">
        <v>360210</v>
      </c>
      <c r="H42" s="165">
        <v>391918</v>
      </c>
      <c r="I42" s="165">
        <v>399237</v>
      </c>
      <c r="J42" s="180">
        <f t="shared" ref="J42:J49" si="16">IFERROR(I42/H42-1,"-")</f>
        <v>1.8674824835807513E-2</v>
      </c>
      <c r="K42" s="164">
        <f t="shared" si="15"/>
        <v>7319</v>
      </c>
      <c r="L42" s="166">
        <f t="shared" si="14"/>
        <v>0.12726405098250729</v>
      </c>
    </row>
    <row r="43" spans="1:12" s="57" customFormat="1" x14ac:dyDescent="0.25">
      <c r="B43" s="164" t="s">
        <v>115</v>
      </c>
      <c r="C43" s="165">
        <v>34729</v>
      </c>
      <c r="D43" s="165">
        <v>14886</v>
      </c>
      <c r="E43" s="165">
        <v>4890</v>
      </c>
      <c r="F43" s="165">
        <v>22405</v>
      </c>
      <c r="G43" s="165">
        <v>27868</v>
      </c>
      <c r="H43" s="165">
        <v>27250</v>
      </c>
      <c r="I43" s="165">
        <v>28862</v>
      </c>
      <c r="J43" s="180">
        <f t="shared" si="16"/>
        <v>5.9155963302752301E-2</v>
      </c>
      <c r="K43" s="164">
        <f t="shared" si="15"/>
        <v>1612</v>
      </c>
      <c r="L43" s="166">
        <f t="shared" si="14"/>
        <v>9.2002871463745216E-3</v>
      </c>
    </row>
    <row r="44" spans="1:12" x14ac:dyDescent="0.25">
      <c r="A44" s="1"/>
      <c r="B44" s="164" t="s">
        <v>118</v>
      </c>
      <c r="C44" s="165">
        <v>15282</v>
      </c>
      <c r="D44" s="165">
        <v>7059</v>
      </c>
      <c r="E44" s="165">
        <v>7849</v>
      </c>
      <c r="F44" s="165">
        <v>15441</v>
      </c>
      <c r="G44" s="165">
        <v>17860</v>
      </c>
      <c r="H44" s="165">
        <v>18036</v>
      </c>
      <c r="I44" s="165">
        <v>18502</v>
      </c>
      <c r="J44" s="180">
        <f t="shared" si="16"/>
        <v>2.5837214459969005E-2</v>
      </c>
      <c r="K44" s="164">
        <f t="shared" si="15"/>
        <v>466</v>
      </c>
      <c r="L44" s="166">
        <f t="shared" si="14"/>
        <v>5.897848824829236E-3</v>
      </c>
    </row>
    <row r="45" spans="1:12" x14ac:dyDescent="0.25">
      <c r="A45" s="1"/>
      <c r="B45" s="164" t="s">
        <v>125</v>
      </c>
      <c r="C45" s="165">
        <v>33079</v>
      </c>
      <c r="D45" s="165">
        <v>13054</v>
      </c>
      <c r="E45" s="165">
        <v>3419</v>
      </c>
      <c r="F45" s="165">
        <v>36418</v>
      </c>
      <c r="G45" s="165">
        <v>32685</v>
      </c>
      <c r="H45" s="165">
        <v>34207</v>
      </c>
      <c r="I45" s="165">
        <v>30816</v>
      </c>
      <c r="J45" s="180">
        <f t="shared" si="16"/>
        <v>-9.9131756657994008E-2</v>
      </c>
      <c r="K45" s="164">
        <f t="shared" si="15"/>
        <v>-3391</v>
      </c>
      <c r="L45" s="166">
        <f t="shared" si="14"/>
        <v>9.8231601657084496E-3</v>
      </c>
    </row>
    <row r="46" spans="1:12" x14ac:dyDescent="0.25">
      <c r="A46" s="1"/>
      <c r="B46" s="164" t="s">
        <v>121</v>
      </c>
      <c r="C46" s="165">
        <v>24096</v>
      </c>
      <c r="D46" s="165">
        <v>11786</v>
      </c>
      <c r="E46" s="165">
        <v>2753</v>
      </c>
      <c r="F46" s="165">
        <v>22089</v>
      </c>
      <c r="G46" s="165">
        <v>24992</v>
      </c>
      <c r="H46" s="165">
        <v>27545</v>
      </c>
      <c r="I46" s="165">
        <v>23241</v>
      </c>
      <c r="J46" s="180">
        <f t="shared" si="16"/>
        <v>-0.15625340352151029</v>
      </c>
      <c r="K46" s="164">
        <f t="shared" si="15"/>
        <v>-4304</v>
      </c>
      <c r="L46" s="166">
        <f t="shared" si="14"/>
        <v>7.4084912192117752E-3</v>
      </c>
    </row>
    <row r="47" spans="1:12" x14ac:dyDescent="0.25">
      <c r="A47" s="1"/>
      <c r="B47" s="164" t="s">
        <v>130</v>
      </c>
      <c r="C47" s="165">
        <v>21311</v>
      </c>
      <c r="D47" s="165">
        <v>12179</v>
      </c>
      <c r="E47" s="165">
        <v>420</v>
      </c>
      <c r="F47" s="165">
        <v>15389</v>
      </c>
      <c r="G47" s="165">
        <v>17947</v>
      </c>
      <c r="H47" s="165">
        <v>16728</v>
      </c>
      <c r="I47" s="165">
        <v>17045</v>
      </c>
      <c r="J47" s="180">
        <f t="shared" si="16"/>
        <v>1.8950263032042169E-2</v>
      </c>
      <c r="K47" s="164">
        <f t="shared" si="15"/>
        <v>317</v>
      </c>
      <c r="L47" s="166">
        <f t="shared" si="14"/>
        <v>5.4334035898397108E-3</v>
      </c>
    </row>
    <row r="48" spans="1:12" x14ac:dyDescent="0.25">
      <c r="A48" s="163" t="s">
        <v>146</v>
      </c>
      <c r="B48" s="164" t="s">
        <v>133</v>
      </c>
      <c r="C48" s="165">
        <v>31592</v>
      </c>
      <c r="D48" s="165">
        <v>20180</v>
      </c>
      <c r="E48" s="165">
        <v>2116</v>
      </c>
      <c r="F48" s="165">
        <v>14729</v>
      </c>
      <c r="G48" s="165">
        <v>18123</v>
      </c>
      <c r="H48" s="165">
        <v>19789</v>
      </c>
      <c r="I48" s="165">
        <v>15600</v>
      </c>
      <c r="J48" s="180">
        <f t="shared" si="16"/>
        <v>-0.21168325837586544</v>
      </c>
      <c r="K48" s="164">
        <f t="shared" si="15"/>
        <v>-4189</v>
      </c>
      <c r="L48" s="166">
        <f t="shared" si="14"/>
        <v>4.9727835729832491E-3</v>
      </c>
    </row>
    <row r="49" spans="1:12" x14ac:dyDescent="0.25">
      <c r="A49" s="168" t="s">
        <v>147</v>
      </c>
      <c r="B49" s="169" t="s">
        <v>147</v>
      </c>
      <c r="C49" s="170">
        <f t="shared" ref="C49" si="17">C41-SUM(C42:C48)</f>
        <v>178771</v>
      </c>
      <c r="D49" s="170">
        <f t="shared" ref="D49:I49" si="18">D41-SUM(D42:D48)</f>
        <v>86932</v>
      </c>
      <c r="E49" s="170">
        <f t="shared" si="18"/>
        <v>39762</v>
      </c>
      <c r="F49" s="170">
        <f t="shared" si="18"/>
        <v>195326</v>
      </c>
      <c r="G49" s="170">
        <f t="shared" si="18"/>
        <v>216236</v>
      </c>
      <c r="H49" s="170">
        <f t="shared" si="18"/>
        <v>225327</v>
      </c>
      <c r="I49" s="170">
        <f t="shared" si="18"/>
        <v>243106</v>
      </c>
      <c r="J49" s="181">
        <f t="shared" si="16"/>
        <v>7.890310526479305E-2</v>
      </c>
      <c r="K49" s="169">
        <f>I49-H49</f>
        <v>17779</v>
      </c>
      <c r="L49" s="171">
        <f t="shared" si="14"/>
        <v>7.7494456621388833E-2</v>
      </c>
    </row>
    <row r="50" spans="1:12" x14ac:dyDescent="0.25">
      <c r="A50" s="1"/>
      <c r="B50" s="156" t="s">
        <v>48</v>
      </c>
      <c r="C50" s="154"/>
      <c r="D50" s="154"/>
      <c r="E50" s="154"/>
      <c r="F50" s="154"/>
      <c r="G50" s="154"/>
      <c r="H50" s="154"/>
      <c r="I50" s="154"/>
      <c r="J50" s="155"/>
      <c r="K50" s="155"/>
      <c r="L50" s="154"/>
    </row>
    <row r="51" spans="1:12" x14ac:dyDescent="0.25">
      <c r="A51" s="1"/>
      <c r="B51" s="157" t="s">
        <v>70</v>
      </c>
      <c r="C51" s="177">
        <v>26450</v>
      </c>
      <c r="D51" s="177">
        <v>11900</v>
      </c>
      <c r="E51" s="177">
        <v>5578</v>
      </c>
      <c r="F51" s="177">
        <v>18891</v>
      </c>
      <c r="G51" s="177">
        <v>29549</v>
      </c>
      <c r="H51" s="177">
        <v>25686</v>
      </c>
      <c r="I51" s="177">
        <v>24307</v>
      </c>
      <c r="J51" s="178">
        <f>IFERROR(I51/H51-1,"-")</f>
        <v>-5.3686833294401604E-2</v>
      </c>
      <c r="K51" s="177">
        <f>I51-H51</f>
        <v>-1379</v>
      </c>
      <c r="L51" s="178">
        <f t="shared" ref="L51:L63" si="19">I51/I$9</f>
        <v>7.7482980966989646E-3</v>
      </c>
    </row>
    <row r="52" spans="1:12" x14ac:dyDescent="0.25">
      <c r="A52" s="1" t="s">
        <v>98</v>
      </c>
      <c r="B52" s="160" t="s">
        <v>99</v>
      </c>
      <c r="C52" s="161">
        <v>5333</v>
      </c>
      <c r="D52" s="161">
        <v>1180</v>
      </c>
      <c r="E52" s="161">
        <v>1616</v>
      </c>
      <c r="F52" s="161">
        <v>2216</v>
      </c>
      <c r="G52" s="161">
        <v>12386</v>
      </c>
      <c r="H52" s="161">
        <v>6510</v>
      </c>
      <c r="I52" s="161">
        <v>4608</v>
      </c>
      <c r="J52" s="179">
        <f>IFERROR(I52/H52-1,"-")</f>
        <v>-0.29216589861751152</v>
      </c>
      <c r="K52" s="160">
        <f t="shared" ref="K52:K62" si="20">I52-H52</f>
        <v>-1902</v>
      </c>
      <c r="L52" s="162">
        <f t="shared" si="19"/>
        <v>1.4688837630965905E-3</v>
      </c>
    </row>
    <row r="53" spans="1:12" x14ac:dyDescent="0.25">
      <c r="A53" s="163" t="s">
        <v>105</v>
      </c>
      <c r="B53" s="164" t="s">
        <v>105</v>
      </c>
      <c r="C53" s="165">
        <v>3021</v>
      </c>
      <c r="D53" s="165">
        <v>576</v>
      </c>
      <c r="E53" s="165">
        <v>756</v>
      </c>
      <c r="F53" s="165">
        <v>794</v>
      </c>
      <c r="G53" s="165">
        <v>9119</v>
      </c>
      <c r="H53" s="165">
        <v>4318</v>
      </c>
      <c r="I53" s="165">
        <v>2935</v>
      </c>
      <c r="J53" s="180">
        <f>IFERROR(I53/H53-1,"-")</f>
        <v>-0.32028716998610463</v>
      </c>
      <c r="K53" s="164">
        <f t="shared" si="20"/>
        <v>-1383</v>
      </c>
      <c r="L53" s="166">
        <f t="shared" si="19"/>
        <v>9.3558460171191266E-4</v>
      </c>
    </row>
    <row r="54" spans="1:12" x14ac:dyDescent="0.25">
      <c r="A54" s="163" t="s">
        <v>102</v>
      </c>
      <c r="B54" s="164" t="s">
        <v>102</v>
      </c>
      <c r="C54" s="165">
        <v>2312</v>
      </c>
      <c r="D54" s="165">
        <v>604</v>
      </c>
      <c r="E54" s="165">
        <v>860</v>
      </c>
      <c r="F54" s="165">
        <v>1422</v>
      </c>
      <c r="G54" s="165">
        <v>3267</v>
      </c>
      <c r="H54" s="165">
        <v>2192</v>
      </c>
      <c r="I54" s="165">
        <v>1673</v>
      </c>
      <c r="J54" s="180">
        <f>IFERROR(I54/H54-1,"-")</f>
        <v>-0.2367700729927007</v>
      </c>
      <c r="K54" s="164">
        <f t="shared" si="20"/>
        <v>-519</v>
      </c>
      <c r="L54" s="166">
        <f t="shared" si="19"/>
        <v>5.3329916138467796E-4</v>
      </c>
    </row>
    <row r="55" spans="1:12" x14ac:dyDescent="0.25">
      <c r="A55" s="1"/>
      <c r="B55" s="160" t="s">
        <v>109</v>
      </c>
      <c r="C55" s="161">
        <v>21117</v>
      </c>
      <c r="D55" s="161">
        <v>10720</v>
      </c>
      <c r="E55" s="161">
        <v>3962</v>
      </c>
      <c r="F55" s="161">
        <v>16675</v>
      </c>
      <c r="G55" s="161">
        <v>17163</v>
      </c>
      <c r="H55" s="161">
        <v>19176</v>
      </c>
      <c r="I55" s="161">
        <v>19699</v>
      </c>
      <c r="J55" s="179">
        <f>IFERROR(I55/H55-1,"-")</f>
        <v>2.7273675427617938E-2</v>
      </c>
      <c r="K55" s="160">
        <f t="shared" si="20"/>
        <v>523</v>
      </c>
      <c r="L55" s="162">
        <f t="shared" si="19"/>
        <v>6.2794143336023737E-3</v>
      </c>
    </row>
    <row r="56" spans="1:12" s="57" customFormat="1" x14ac:dyDescent="0.25">
      <c r="B56" s="164" t="s">
        <v>112</v>
      </c>
      <c r="C56" s="165">
        <v>6243</v>
      </c>
      <c r="D56" s="165">
        <v>3648</v>
      </c>
      <c r="E56" s="165">
        <v>114</v>
      </c>
      <c r="F56" s="165">
        <v>6062</v>
      </c>
      <c r="G56" s="165">
        <v>5489</v>
      </c>
      <c r="H56" s="165">
        <v>6677</v>
      </c>
      <c r="I56" s="165">
        <v>7123</v>
      </c>
      <c r="J56" s="180">
        <f t="shared" ref="J56:J63" si="21">IFERROR(I56/H56-1,"-")</f>
        <v>6.679646547850826E-2</v>
      </c>
      <c r="K56" s="164">
        <f t="shared" si="20"/>
        <v>446</v>
      </c>
      <c r="L56" s="166">
        <f t="shared" si="19"/>
        <v>2.2705857301512618E-3</v>
      </c>
    </row>
    <row r="57" spans="1:12" s="57" customFormat="1" x14ac:dyDescent="0.25">
      <c r="B57" s="164" t="s">
        <v>115</v>
      </c>
      <c r="C57" s="165">
        <v>5970</v>
      </c>
      <c r="D57" s="165">
        <v>2760</v>
      </c>
      <c r="E57" s="165">
        <v>1495</v>
      </c>
      <c r="F57" s="165">
        <v>4137</v>
      </c>
      <c r="G57" s="165">
        <v>3170</v>
      </c>
      <c r="H57" s="165">
        <v>4024</v>
      </c>
      <c r="I57" s="165">
        <v>4162</v>
      </c>
      <c r="J57" s="180">
        <f t="shared" si="21"/>
        <v>3.4294234592445294E-2</v>
      </c>
      <c r="K57" s="164">
        <f t="shared" si="20"/>
        <v>138</v>
      </c>
      <c r="L57" s="166">
        <f t="shared" si="19"/>
        <v>1.3267131558177105E-3</v>
      </c>
    </row>
    <row r="58" spans="1:12" x14ac:dyDescent="0.25">
      <c r="A58" s="1"/>
      <c r="B58" s="164" t="s">
        <v>118</v>
      </c>
      <c r="C58" s="165">
        <v>1364</v>
      </c>
      <c r="D58" s="165">
        <v>468</v>
      </c>
      <c r="E58" s="165">
        <v>639</v>
      </c>
      <c r="F58" s="165">
        <v>1175</v>
      </c>
      <c r="G58" s="165">
        <v>1646</v>
      </c>
      <c r="H58" s="165">
        <v>1282</v>
      </c>
      <c r="I58" s="165">
        <v>1139</v>
      </c>
      <c r="J58" s="180">
        <f t="shared" si="21"/>
        <v>-0.1115444617784711</v>
      </c>
      <c r="K58" s="164">
        <f t="shared" si="20"/>
        <v>-143</v>
      </c>
      <c r="L58" s="166">
        <f t="shared" si="19"/>
        <v>3.630769544633283E-4</v>
      </c>
    </row>
    <row r="59" spans="1:12" x14ac:dyDescent="0.25">
      <c r="A59" s="1"/>
      <c r="B59" s="164" t="s">
        <v>125</v>
      </c>
      <c r="C59" s="165">
        <v>526</v>
      </c>
      <c r="D59" s="165">
        <v>223</v>
      </c>
      <c r="E59" s="165">
        <v>94</v>
      </c>
      <c r="F59" s="165">
        <v>444</v>
      </c>
      <c r="G59" s="165">
        <v>385</v>
      </c>
      <c r="H59" s="165">
        <v>638</v>
      </c>
      <c r="I59" s="165">
        <v>593</v>
      </c>
      <c r="J59" s="180">
        <f t="shared" si="21"/>
        <v>-7.0532915360501547E-2</v>
      </c>
      <c r="K59" s="164">
        <f t="shared" si="20"/>
        <v>-45</v>
      </c>
      <c r="L59" s="166">
        <f t="shared" si="19"/>
        <v>1.8902952940891456E-4</v>
      </c>
    </row>
    <row r="60" spans="1:12" x14ac:dyDescent="0.25">
      <c r="A60" s="1"/>
      <c r="B60" s="164" t="s">
        <v>121</v>
      </c>
      <c r="C60" s="165">
        <v>570</v>
      </c>
      <c r="D60" s="165">
        <v>213</v>
      </c>
      <c r="E60" s="165">
        <v>112</v>
      </c>
      <c r="F60" s="165">
        <v>419</v>
      </c>
      <c r="G60" s="165">
        <v>406</v>
      </c>
      <c r="H60" s="165">
        <v>454</v>
      </c>
      <c r="I60" s="165">
        <v>521</v>
      </c>
      <c r="J60" s="180">
        <f t="shared" si="21"/>
        <v>0.14757709251101314</v>
      </c>
      <c r="K60" s="164">
        <f t="shared" si="20"/>
        <v>67</v>
      </c>
      <c r="L60" s="166">
        <f t="shared" si="19"/>
        <v>1.6607822061053031E-4</v>
      </c>
    </row>
    <row r="61" spans="1:12" x14ac:dyDescent="0.25">
      <c r="A61" s="1"/>
      <c r="B61" s="164" t="s">
        <v>130</v>
      </c>
      <c r="C61" s="165">
        <v>185</v>
      </c>
      <c r="D61" s="165">
        <v>147</v>
      </c>
      <c r="E61" s="165">
        <v>29</v>
      </c>
      <c r="F61" s="165">
        <v>55</v>
      </c>
      <c r="G61" s="165">
        <v>167</v>
      </c>
      <c r="H61" s="165">
        <v>93</v>
      </c>
      <c r="I61" s="165">
        <v>174</v>
      </c>
      <c r="J61" s="180">
        <f t="shared" si="21"/>
        <v>0.87096774193548376</v>
      </c>
      <c r="K61" s="164">
        <f t="shared" si="20"/>
        <v>81</v>
      </c>
      <c r="L61" s="166">
        <f t="shared" si="19"/>
        <v>5.5465662929428547E-5</v>
      </c>
    </row>
    <row r="62" spans="1:12" x14ac:dyDescent="0.25">
      <c r="A62" s="163" t="s">
        <v>146</v>
      </c>
      <c r="B62" s="164" t="s">
        <v>133</v>
      </c>
      <c r="C62" s="165">
        <v>305</v>
      </c>
      <c r="D62" s="165">
        <v>253</v>
      </c>
      <c r="E62" s="165">
        <v>16</v>
      </c>
      <c r="F62" s="165">
        <v>95</v>
      </c>
      <c r="G62" s="165">
        <v>159</v>
      </c>
      <c r="H62" s="165">
        <v>97</v>
      </c>
      <c r="I62" s="165">
        <v>425</v>
      </c>
      <c r="J62" s="180">
        <f t="shared" si="21"/>
        <v>3.3814432989690726</v>
      </c>
      <c r="K62" s="164">
        <f t="shared" si="20"/>
        <v>328</v>
      </c>
      <c r="L62" s="166">
        <f t="shared" si="19"/>
        <v>1.35476475546018E-4</v>
      </c>
    </row>
    <row r="63" spans="1:12" x14ac:dyDescent="0.25">
      <c r="A63" s="168" t="s">
        <v>147</v>
      </c>
      <c r="B63" s="169" t="s">
        <v>147</v>
      </c>
      <c r="C63" s="170">
        <f t="shared" ref="C63" si="22">C55-SUM(C56:C62)</f>
        <v>5954</v>
      </c>
      <c r="D63" s="170">
        <f t="shared" ref="D63:I63" si="23">D55-SUM(D56:D62)</f>
        <v>3008</v>
      </c>
      <c r="E63" s="170">
        <f t="shared" si="23"/>
        <v>1463</v>
      </c>
      <c r="F63" s="170">
        <f t="shared" si="23"/>
        <v>4288</v>
      </c>
      <c r="G63" s="170">
        <f t="shared" si="23"/>
        <v>5741</v>
      </c>
      <c r="H63" s="170">
        <f t="shared" si="23"/>
        <v>5911</v>
      </c>
      <c r="I63" s="170">
        <f t="shared" si="23"/>
        <v>5562</v>
      </c>
      <c r="J63" s="181">
        <f t="shared" si="21"/>
        <v>-5.9042463204195594E-2</v>
      </c>
      <c r="K63" s="169">
        <f>I63-H63</f>
        <v>-349</v>
      </c>
      <c r="L63" s="171">
        <f t="shared" si="19"/>
        <v>1.7729886046751815E-3</v>
      </c>
    </row>
    <row r="64" spans="1:12" x14ac:dyDescent="0.25">
      <c r="A64" s="1"/>
      <c r="B64" s="156" t="s">
        <v>49</v>
      </c>
      <c r="C64" s="154"/>
      <c r="D64" s="154"/>
      <c r="E64" s="154"/>
      <c r="F64" s="154"/>
      <c r="G64" s="154"/>
      <c r="H64" s="154"/>
      <c r="I64" s="154"/>
      <c r="J64" s="155"/>
      <c r="K64" s="155"/>
      <c r="L64" s="154"/>
    </row>
    <row r="65" spans="1:12" x14ac:dyDescent="0.25">
      <c r="A65" s="1"/>
      <c r="B65" s="157" t="s">
        <v>70</v>
      </c>
      <c r="C65" s="177">
        <v>75119</v>
      </c>
      <c r="D65" s="177">
        <v>29538</v>
      </c>
      <c r="E65" s="177">
        <v>21235</v>
      </c>
      <c r="F65" s="177">
        <v>78873</v>
      </c>
      <c r="G65" s="177">
        <v>101039</v>
      </c>
      <c r="H65" s="177">
        <v>136007</v>
      </c>
      <c r="I65" s="177">
        <v>108799</v>
      </c>
      <c r="J65" s="178">
        <f>IFERROR(I65/H65-1,"-")</f>
        <v>-0.20004852691405595</v>
      </c>
      <c r="K65" s="177">
        <f>I65-H65</f>
        <v>-27208</v>
      </c>
      <c r="L65" s="178">
        <f t="shared" ref="L65:L77" si="24">I65/I$9</f>
        <v>3.4681658971602858E-2</v>
      </c>
    </row>
    <row r="66" spans="1:12" x14ac:dyDescent="0.25">
      <c r="A66" s="1" t="s">
        <v>98</v>
      </c>
      <c r="B66" s="160" t="s">
        <v>99</v>
      </c>
      <c r="C66" s="161">
        <v>16572</v>
      </c>
      <c r="D66" s="161">
        <v>6589</v>
      </c>
      <c r="E66" s="161">
        <v>9773</v>
      </c>
      <c r="F66" s="161">
        <v>16521</v>
      </c>
      <c r="G66" s="161">
        <v>16895</v>
      </c>
      <c r="H66" s="161">
        <v>32362</v>
      </c>
      <c r="I66" s="161">
        <v>21314</v>
      </c>
      <c r="J66" s="179">
        <f>IFERROR(I66/H66-1,"-")</f>
        <v>-0.34138804771027753</v>
      </c>
      <c r="K66" s="160">
        <f t="shared" ref="K66:K76" si="25">I66-H66</f>
        <v>-11048</v>
      </c>
      <c r="L66" s="162">
        <f t="shared" si="24"/>
        <v>6.7942249406772424E-3</v>
      </c>
    </row>
    <row r="67" spans="1:12" x14ac:dyDescent="0.25">
      <c r="A67" s="163" t="s">
        <v>105</v>
      </c>
      <c r="B67" s="164" t="s">
        <v>105</v>
      </c>
      <c r="C67" s="165">
        <v>8691</v>
      </c>
      <c r="D67" s="165">
        <v>2565</v>
      </c>
      <c r="E67" s="165">
        <v>9350</v>
      </c>
      <c r="F67" s="165">
        <v>11957</v>
      </c>
      <c r="G67" s="165">
        <v>12094</v>
      </c>
      <c r="H67" s="165">
        <v>19236</v>
      </c>
      <c r="I67" s="165">
        <v>7816</v>
      </c>
      <c r="J67" s="180">
        <f>IFERROR(I67/H67-1,"-")</f>
        <v>-0.59367851944271166</v>
      </c>
      <c r="K67" s="164">
        <f t="shared" si="25"/>
        <v>-11420</v>
      </c>
      <c r="L67" s="166">
        <f t="shared" si="24"/>
        <v>2.49149207733571E-3</v>
      </c>
    </row>
    <row r="68" spans="1:12" x14ac:dyDescent="0.25">
      <c r="A68" s="163" t="s">
        <v>102</v>
      </c>
      <c r="B68" s="164" t="s">
        <v>102</v>
      </c>
      <c r="C68" s="165">
        <v>7881</v>
      </c>
      <c r="D68" s="165">
        <v>4024</v>
      </c>
      <c r="E68" s="165">
        <v>423</v>
      </c>
      <c r="F68" s="165">
        <v>4564</v>
      </c>
      <c r="G68" s="165">
        <v>4801</v>
      </c>
      <c r="H68" s="165">
        <v>13126</v>
      </c>
      <c r="I68" s="165">
        <v>13498</v>
      </c>
      <c r="J68" s="180">
        <f>IFERROR(I68/H68-1,"-")</f>
        <v>2.8340697851592322E-2</v>
      </c>
      <c r="K68" s="164">
        <f t="shared" si="25"/>
        <v>372</v>
      </c>
      <c r="L68" s="166">
        <f t="shared" si="24"/>
        <v>4.302732863341532E-3</v>
      </c>
    </row>
    <row r="69" spans="1:12" x14ac:dyDescent="0.25">
      <c r="A69" s="1"/>
      <c r="B69" s="160" t="s">
        <v>109</v>
      </c>
      <c r="C69" s="161">
        <v>58547</v>
      </c>
      <c r="D69" s="161">
        <v>22949</v>
      </c>
      <c r="E69" s="161">
        <v>11462</v>
      </c>
      <c r="F69" s="161">
        <v>62352</v>
      </c>
      <c r="G69" s="161">
        <v>84144</v>
      </c>
      <c r="H69" s="161">
        <v>103645</v>
      </c>
      <c r="I69" s="161">
        <v>87485</v>
      </c>
      <c r="J69" s="179">
        <f>IFERROR(I69/H69-1,"-")</f>
        <v>-0.15591683149211255</v>
      </c>
      <c r="K69" s="160">
        <f t="shared" si="25"/>
        <v>-16160</v>
      </c>
      <c r="L69" s="162">
        <f t="shared" si="24"/>
        <v>2.7887434030925612E-2</v>
      </c>
    </row>
    <row r="70" spans="1:12" s="57" customFormat="1" x14ac:dyDescent="0.25">
      <c r="B70" s="164" t="s">
        <v>112</v>
      </c>
      <c r="C70" s="165">
        <v>25686</v>
      </c>
      <c r="D70" s="165">
        <v>9198</v>
      </c>
      <c r="E70" s="165">
        <v>1409</v>
      </c>
      <c r="F70" s="165">
        <v>25128</v>
      </c>
      <c r="G70" s="165">
        <v>29122</v>
      </c>
      <c r="H70" s="165">
        <v>40052</v>
      </c>
      <c r="I70" s="165">
        <v>43439</v>
      </c>
      <c r="J70" s="180">
        <f t="shared" ref="J70:J77" si="26">IFERROR(I70/H70-1,"-")</f>
        <v>8.4565065414960561E-2</v>
      </c>
      <c r="K70" s="164">
        <f t="shared" si="25"/>
        <v>3387</v>
      </c>
      <c r="L70" s="166">
        <f t="shared" si="24"/>
        <v>1.3846970873514062E-2</v>
      </c>
    </row>
    <row r="71" spans="1:12" s="57" customFormat="1" x14ac:dyDescent="0.25">
      <c r="B71" s="164" t="s">
        <v>115</v>
      </c>
      <c r="C71" s="165">
        <v>7310</v>
      </c>
      <c r="D71" s="165">
        <v>2626</v>
      </c>
      <c r="E71" s="165">
        <v>2083</v>
      </c>
      <c r="F71" s="165">
        <v>6465</v>
      </c>
      <c r="G71" s="165">
        <v>6452</v>
      </c>
      <c r="H71" s="165">
        <v>6763</v>
      </c>
      <c r="I71" s="165">
        <v>6660</v>
      </c>
      <c r="J71" s="180">
        <f t="shared" si="26"/>
        <v>-1.5229927546946631E-2</v>
      </c>
      <c r="K71" s="164">
        <f t="shared" si="25"/>
        <v>-103</v>
      </c>
      <c r="L71" s="166">
        <f t="shared" si="24"/>
        <v>2.122996063850541E-3</v>
      </c>
    </row>
    <row r="72" spans="1:12" x14ac:dyDescent="0.25">
      <c r="A72" s="1"/>
      <c r="B72" s="164" t="s">
        <v>118</v>
      </c>
      <c r="C72" s="165">
        <v>6377</v>
      </c>
      <c r="D72" s="165">
        <v>2915</v>
      </c>
      <c r="E72" s="165">
        <v>1450</v>
      </c>
      <c r="F72" s="165">
        <v>8106</v>
      </c>
      <c r="G72" s="165">
        <v>10568</v>
      </c>
      <c r="H72" s="165">
        <v>12526</v>
      </c>
      <c r="I72" s="165">
        <v>5835</v>
      </c>
      <c r="J72" s="180">
        <f t="shared" si="26"/>
        <v>-0.53416892862845278</v>
      </c>
      <c r="K72" s="164">
        <f t="shared" si="25"/>
        <v>-6691</v>
      </c>
      <c r="L72" s="166">
        <f t="shared" si="24"/>
        <v>1.8600123172023886E-3</v>
      </c>
    </row>
    <row r="73" spans="1:12" x14ac:dyDescent="0.25">
      <c r="A73" s="1"/>
      <c r="B73" s="164" t="s">
        <v>125</v>
      </c>
      <c r="C73" s="165">
        <v>1332</v>
      </c>
      <c r="D73" s="165">
        <v>233</v>
      </c>
      <c r="E73" s="165">
        <v>496</v>
      </c>
      <c r="F73" s="165">
        <v>2187</v>
      </c>
      <c r="G73" s="165">
        <v>2365</v>
      </c>
      <c r="H73" s="165">
        <v>4095</v>
      </c>
      <c r="I73" s="165">
        <v>3148</v>
      </c>
      <c r="J73" s="180">
        <f t="shared" si="26"/>
        <v>-0.23125763125763121</v>
      </c>
      <c r="K73" s="164">
        <f t="shared" si="25"/>
        <v>-947</v>
      </c>
      <c r="L73" s="166">
        <f t="shared" si="24"/>
        <v>1.0034822235737992E-3</v>
      </c>
    </row>
    <row r="74" spans="1:12" x14ac:dyDescent="0.25">
      <c r="A74" s="1"/>
      <c r="B74" s="164" t="s">
        <v>121</v>
      </c>
      <c r="C74" s="165">
        <v>1418</v>
      </c>
      <c r="D74" s="165">
        <v>590</v>
      </c>
      <c r="E74" s="165">
        <v>900</v>
      </c>
      <c r="F74" s="165">
        <v>1794</v>
      </c>
      <c r="G74" s="165">
        <v>1728</v>
      </c>
      <c r="H74" s="165">
        <v>2306</v>
      </c>
      <c r="I74" s="165">
        <v>1904</v>
      </c>
      <c r="J74" s="180">
        <f t="shared" si="26"/>
        <v>-0.17432784041630534</v>
      </c>
      <c r="K74" s="164">
        <f t="shared" si="25"/>
        <v>-402</v>
      </c>
      <c r="L74" s="166">
        <f t="shared" si="24"/>
        <v>6.0693461044616069E-4</v>
      </c>
    </row>
    <row r="75" spans="1:12" x14ac:dyDescent="0.25">
      <c r="A75" s="1"/>
      <c r="B75" s="164" t="s">
        <v>130</v>
      </c>
      <c r="C75" s="165">
        <v>1330</v>
      </c>
      <c r="D75" s="165">
        <v>833</v>
      </c>
      <c r="E75" s="165">
        <v>2</v>
      </c>
      <c r="F75" s="165">
        <v>1434</v>
      </c>
      <c r="G75" s="165">
        <v>3910</v>
      </c>
      <c r="H75" s="165">
        <v>2831</v>
      </c>
      <c r="I75" s="165">
        <v>1714</v>
      </c>
      <c r="J75" s="180">
        <f t="shared" si="26"/>
        <v>-0.39456022606852703</v>
      </c>
      <c r="K75" s="164">
        <f t="shared" si="25"/>
        <v>-1117</v>
      </c>
      <c r="L75" s="166">
        <f t="shared" si="24"/>
        <v>5.463686566726468E-4</v>
      </c>
    </row>
    <row r="76" spans="1:12" x14ac:dyDescent="0.25">
      <c r="A76" s="163" t="s">
        <v>146</v>
      </c>
      <c r="B76" s="164" t="s">
        <v>133</v>
      </c>
      <c r="C76" s="165">
        <v>1485</v>
      </c>
      <c r="D76" s="165">
        <v>961</v>
      </c>
      <c r="E76" s="165">
        <v>0</v>
      </c>
      <c r="F76" s="165">
        <v>469</v>
      </c>
      <c r="G76" s="165">
        <v>1061</v>
      </c>
      <c r="H76" s="165">
        <v>2071</v>
      </c>
      <c r="I76" s="165">
        <v>2236</v>
      </c>
      <c r="J76" s="180">
        <f t="shared" si="26"/>
        <v>7.9671656204731933E-2</v>
      </c>
      <c r="K76" s="164">
        <f t="shared" si="25"/>
        <v>165</v>
      </c>
      <c r="L76" s="166">
        <f t="shared" si="24"/>
        <v>7.1276564546093239E-4</v>
      </c>
    </row>
    <row r="77" spans="1:12" x14ac:dyDescent="0.25">
      <c r="A77" s="168" t="s">
        <v>147</v>
      </c>
      <c r="B77" s="169" t="s">
        <v>147</v>
      </c>
      <c r="C77" s="170">
        <f t="shared" ref="C77" si="27">C69-SUM(C70:C76)</f>
        <v>13609</v>
      </c>
      <c r="D77" s="170">
        <f t="shared" ref="D77:I77" si="28">D69-SUM(D70:D76)</f>
        <v>5593</v>
      </c>
      <c r="E77" s="170">
        <f t="shared" si="28"/>
        <v>5122</v>
      </c>
      <c r="F77" s="170">
        <f t="shared" si="28"/>
        <v>16769</v>
      </c>
      <c r="G77" s="170">
        <f t="shared" si="28"/>
        <v>28938</v>
      </c>
      <c r="H77" s="170">
        <f t="shared" si="28"/>
        <v>33001</v>
      </c>
      <c r="I77" s="170">
        <f t="shared" si="28"/>
        <v>22549</v>
      </c>
      <c r="J77" s="181">
        <f t="shared" si="26"/>
        <v>-0.31671767522196292</v>
      </c>
      <c r="K77" s="169">
        <f>I77-H77</f>
        <v>-10452</v>
      </c>
      <c r="L77" s="171">
        <f t="shared" si="24"/>
        <v>7.1879036402050824E-3</v>
      </c>
    </row>
    <row r="78" spans="1:12" x14ac:dyDescent="0.25">
      <c r="A78" s="1"/>
      <c r="B78" s="156" t="s">
        <v>50</v>
      </c>
      <c r="C78" s="154"/>
      <c r="D78" s="154"/>
      <c r="E78" s="154"/>
      <c r="F78" s="154"/>
      <c r="G78" s="154"/>
      <c r="H78" s="154"/>
      <c r="I78" s="154"/>
      <c r="J78" s="155"/>
      <c r="K78" s="155"/>
      <c r="L78" s="154"/>
    </row>
    <row r="79" spans="1:12" x14ac:dyDescent="0.25">
      <c r="A79" s="1"/>
      <c r="B79" s="157" t="s">
        <v>70</v>
      </c>
      <c r="C79" s="177">
        <v>453133</v>
      </c>
      <c r="D79" s="177">
        <v>183101</v>
      </c>
      <c r="E79" s="177">
        <v>76469</v>
      </c>
      <c r="F79" s="177">
        <v>372553</v>
      </c>
      <c r="G79" s="177">
        <v>443789</v>
      </c>
      <c r="H79" s="177">
        <v>509981</v>
      </c>
      <c r="I79" s="177">
        <v>517418</v>
      </c>
      <c r="J79" s="178">
        <f>IFERROR(I79/H79-1,"-")</f>
        <v>1.458289622554565E-2</v>
      </c>
      <c r="K79" s="177">
        <f>I79-H79</f>
        <v>7437</v>
      </c>
      <c r="L79" s="178">
        <f t="shared" ref="L79:L91" si="29">I79/I$9</f>
        <v>0.16493639299781071</v>
      </c>
    </row>
    <row r="80" spans="1:12" x14ac:dyDescent="0.25">
      <c r="A80" s="1" t="s">
        <v>98</v>
      </c>
      <c r="B80" s="160" t="s">
        <v>99</v>
      </c>
      <c r="C80" s="161">
        <v>189662</v>
      </c>
      <c r="D80" s="161">
        <v>56011</v>
      </c>
      <c r="E80" s="161">
        <v>41163</v>
      </c>
      <c r="F80" s="161">
        <v>169776</v>
      </c>
      <c r="G80" s="161">
        <v>184091</v>
      </c>
      <c r="H80" s="161">
        <v>194736</v>
      </c>
      <c r="I80" s="161">
        <v>198338</v>
      </c>
      <c r="J80" s="179">
        <f>IFERROR(I80/H80-1,"-")</f>
        <v>1.8496836743077782E-2</v>
      </c>
      <c r="K80" s="160">
        <f t="shared" ref="K80:K90" si="30">I80-H80</f>
        <v>3602</v>
      </c>
      <c r="L80" s="162">
        <f t="shared" si="29"/>
        <v>6.3223842839637931E-2</v>
      </c>
    </row>
    <row r="81" spans="1:12" x14ac:dyDescent="0.25">
      <c r="A81" s="163" t="s">
        <v>105</v>
      </c>
      <c r="B81" s="164" t="s">
        <v>105</v>
      </c>
      <c r="C81" s="165">
        <v>32976</v>
      </c>
      <c r="D81" s="165">
        <v>9469</v>
      </c>
      <c r="E81" s="165">
        <v>18642</v>
      </c>
      <c r="F81" s="165">
        <v>43105</v>
      </c>
      <c r="G81" s="165">
        <v>44990</v>
      </c>
      <c r="H81" s="165">
        <v>52905</v>
      </c>
      <c r="I81" s="165">
        <v>42343</v>
      </c>
      <c r="J81" s="180">
        <f>IFERROR(I81/H81-1,"-")</f>
        <v>-0.19964086570267459</v>
      </c>
      <c r="K81" s="164">
        <f t="shared" si="30"/>
        <v>-10562</v>
      </c>
      <c r="L81" s="166">
        <f t="shared" si="29"/>
        <v>1.3497600950694213E-2</v>
      </c>
    </row>
    <row r="82" spans="1:12" x14ac:dyDescent="0.25">
      <c r="A82" s="163" t="s">
        <v>102</v>
      </c>
      <c r="B82" s="164" t="s">
        <v>102</v>
      </c>
      <c r="C82" s="165">
        <v>156686</v>
      </c>
      <c r="D82" s="165">
        <v>46542</v>
      </c>
      <c r="E82" s="165">
        <v>22521</v>
      </c>
      <c r="F82" s="165">
        <v>126671</v>
      </c>
      <c r="G82" s="165">
        <v>139101</v>
      </c>
      <c r="H82" s="165">
        <v>141831</v>
      </c>
      <c r="I82" s="165">
        <v>155995</v>
      </c>
      <c r="J82" s="180">
        <f>IFERROR(I82/H82-1,"-")</f>
        <v>9.9865332684674124E-2</v>
      </c>
      <c r="K82" s="164">
        <f t="shared" si="30"/>
        <v>14164</v>
      </c>
      <c r="L82" s="166">
        <f t="shared" si="29"/>
        <v>4.9726241888943715E-2</v>
      </c>
    </row>
    <row r="83" spans="1:12" x14ac:dyDescent="0.25">
      <c r="A83" s="1"/>
      <c r="B83" s="160" t="s">
        <v>109</v>
      </c>
      <c r="C83" s="161">
        <v>263471</v>
      </c>
      <c r="D83" s="161">
        <v>127090</v>
      </c>
      <c r="E83" s="161">
        <v>35306</v>
      </c>
      <c r="F83" s="161">
        <v>202777</v>
      </c>
      <c r="G83" s="161">
        <v>259698</v>
      </c>
      <c r="H83" s="161">
        <v>315245</v>
      </c>
      <c r="I83" s="161">
        <v>319080</v>
      </c>
      <c r="J83" s="179">
        <f>IFERROR(I83/H83-1,"-")</f>
        <v>1.2165141397960211E-2</v>
      </c>
      <c r="K83" s="160">
        <f t="shared" si="30"/>
        <v>3835</v>
      </c>
      <c r="L83" s="162">
        <f t="shared" si="29"/>
        <v>0.10171255015817277</v>
      </c>
    </row>
    <row r="84" spans="1:12" s="57" customFormat="1" x14ac:dyDescent="0.25">
      <c r="B84" s="164" t="s">
        <v>112</v>
      </c>
      <c r="C84" s="165">
        <v>41506</v>
      </c>
      <c r="D84" s="165">
        <v>21229</v>
      </c>
      <c r="E84" s="165">
        <v>2466</v>
      </c>
      <c r="F84" s="165">
        <v>35188</v>
      </c>
      <c r="G84" s="165">
        <v>48580</v>
      </c>
      <c r="H84" s="165">
        <v>60761</v>
      </c>
      <c r="I84" s="165">
        <v>60217</v>
      </c>
      <c r="J84" s="180">
        <f t="shared" ref="J84:J91" si="31">IFERROR(I84/H84-1,"-")</f>
        <v>-8.9531113707805865E-3</v>
      </c>
      <c r="K84" s="164">
        <f t="shared" si="30"/>
        <v>-544</v>
      </c>
      <c r="L84" s="166">
        <f t="shared" si="29"/>
        <v>1.9195263359893099E-2</v>
      </c>
    </row>
    <row r="85" spans="1:12" s="57" customFormat="1" x14ac:dyDescent="0.25">
      <c r="B85" s="164" t="s">
        <v>115</v>
      </c>
      <c r="C85" s="165">
        <v>106711</v>
      </c>
      <c r="D85" s="165">
        <v>46896</v>
      </c>
      <c r="E85" s="165">
        <v>8035</v>
      </c>
      <c r="F85" s="165">
        <v>67582</v>
      </c>
      <c r="G85" s="165">
        <v>82601</v>
      </c>
      <c r="H85" s="165">
        <v>95459</v>
      </c>
      <c r="I85" s="165">
        <v>93593</v>
      </c>
      <c r="J85" s="180">
        <f t="shared" si="31"/>
        <v>-1.954765920447521E-2</v>
      </c>
      <c r="K85" s="164">
        <f t="shared" si="30"/>
        <v>-1866</v>
      </c>
      <c r="L85" s="166">
        <f t="shared" si="29"/>
        <v>2.9834470060655208E-2</v>
      </c>
    </row>
    <row r="86" spans="1:12" x14ac:dyDescent="0.25">
      <c r="A86" s="1"/>
      <c r="B86" s="164" t="s">
        <v>118</v>
      </c>
      <c r="C86" s="165">
        <v>14315</v>
      </c>
      <c r="D86" s="165">
        <v>6810</v>
      </c>
      <c r="E86" s="165">
        <v>6471</v>
      </c>
      <c r="F86" s="165">
        <v>17670</v>
      </c>
      <c r="G86" s="165">
        <v>22820</v>
      </c>
      <c r="H86" s="165">
        <v>33794</v>
      </c>
      <c r="I86" s="165">
        <v>34108</v>
      </c>
      <c r="J86" s="180">
        <f t="shared" si="31"/>
        <v>9.2915902231165415E-3</v>
      </c>
      <c r="K86" s="164">
        <f t="shared" si="30"/>
        <v>314</v>
      </c>
      <c r="L86" s="166">
        <f t="shared" si="29"/>
        <v>1.0872545006879017E-2</v>
      </c>
    </row>
    <row r="87" spans="1:12" x14ac:dyDescent="0.25">
      <c r="A87" s="1"/>
      <c r="B87" s="164" t="s">
        <v>125</v>
      </c>
      <c r="C87" s="165">
        <v>4430</v>
      </c>
      <c r="D87" s="165">
        <v>1878</v>
      </c>
      <c r="E87" s="165">
        <v>629</v>
      </c>
      <c r="F87" s="165">
        <v>5763</v>
      </c>
      <c r="G87" s="165">
        <v>5624</v>
      </c>
      <c r="H87" s="165">
        <v>8575</v>
      </c>
      <c r="I87" s="165">
        <v>8584</v>
      </c>
      <c r="J87" s="180">
        <f t="shared" si="31"/>
        <v>1.0495626822157877E-3</v>
      </c>
      <c r="K87" s="164">
        <f t="shared" si="30"/>
        <v>9</v>
      </c>
      <c r="L87" s="166">
        <f t="shared" si="29"/>
        <v>2.7363060378518085E-3</v>
      </c>
    </row>
    <row r="88" spans="1:12" x14ac:dyDescent="0.25">
      <c r="A88" s="1"/>
      <c r="B88" s="164" t="s">
        <v>121</v>
      </c>
      <c r="C88" s="165">
        <v>3628</v>
      </c>
      <c r="D88" s="165">
        <v>1330</v>
      </c>
      <c r="E88" s="165">
        <v>806</v>
      </c>
      <c r="F88" s="165">
        <v>3331</v>
      </c>
      <c r="G88" s="165">
        <v>3220</v>
      </c>
      <c r="H88" s="165">
        <v>4368</v>
      </c>
      <c r="I88" s="165">
        <v>4680</v>
      </c>
      <c r="J88" s="180">
        <f t="shared" si="31"/>
        <v>7.1428571428571397E-2</v>
      </c>
      <c r="K88" s="164">
        <f t="shared" si="30"/>
        <v>312</v>
      </c>
      <c r="L88" s="166">
        <f t="shared" si="29"/>
        <v>1.4918350718949747E-3</v>
      </c>
    </row>
    <row r="89" spans="1:12" x14ac:dyDescent="0.25">
      <c r="A89" s="1"/>
      <c r="B89" s="164" t="s">
        <v>130</v>
      </c>
      <c r="C89" s="165">
        <v>6214</v>
      </c>
      <c r="D89" s="165">
        <v>4100</v>
      </c>
      <c r="E89" s="165">
        <v>136</v>
      </c>
      <c r="F89" s="165">
        <v>4162</v>
      </c>
      <c r="G89" s="165">
        <v>6679</v>
      </c>
      <c r="H89" s="165">
        <v>5842</v>
      </c>
      <c r="I89" s="165">
        <v>5869</v>
      </c>
      <c r="J89" s="180">
        <f t="shared" si="31"/>
        <v>4.621704895583667E-3</v>
      </c>
      <c r="K89" s="164">
        <f t="shared" si="30"/>
        <v>27</v>
      </c>
      <c r="L89" s="166">
        <f t="shared" si="29"/>
        <v>1.8708504352460699E-3</v>
      </c>
    </row>
    <row r="90" spans="1:12" x14ac:dyDescent="0.25">
      <c r="A90" s="163" t="s">
        <v>146</v>
      </c>
      <c r="B90" s="164" t="s">
        <v>133</v>
      </c>
      <c r="C90" s="165">
        <v>8761</v>
      </c>
      <c r="D90" s="165">
        <v>6540</v>
      </c>
      <c r="E90" s="165">
        <v>523</v>
      </c>
      <c r="F90" s="165">
        <v>4014</v>
      </c>
      <c r="G90" s="165">
        <v>7037</v>
      </c>
      <c r="H90" s="165">
        <v>7716</v>
      </c>
      <c r="I90" s="165">
        <v>5291</v>
      </c>
      <c r="J90" s="180">
        <f t="shared" si="31"/>
        <v>-0.314282011404873</v>
      </c>
      <c r="K90" s="164">
        <f t="shared" si="30"/>
        <v>-2425</v>
      </c>
      <c r="L90" s="166">
        <f t="shared" si="29"/>
        <v>1.6866024285034855E-3</v>
      </c>
    </row>
    <row r="91" spans="1:12" x14ac:dyDescent="0.25">
      <c r="A91" s="168" t="s">
        <v>147</v>
      </c>
      <c r="B91" s="169" t="s">
        <v>147</v>
      </c>
      <c r="C91" s="170">
        <f t="shared" ref="C91" si="32">C83-SUM(C84:C90)</f>
        <v>77906</v>
      </c>
      <c r="D91" s="170">
        <f t="shared" ref="D91:I91" si="33">D83-SUM(D84:D90)</f>
        <v>38307</v>
      </c>
      <c r="E91" s="170">
        <f t="shared" si="33"/>
        <v>16240</v>
      </c>
      <c r="F91" s="170">
        <f t="shared" si="33"/>
        <v>65067</v>
      </c>
      <c r="G91" s="170">
        <f t="shared" si="33"/>
        <v>83137</v>
      </c>
      <c r="H91" s="170">
        <f t="shared" si="33"/>
        <v>98730</v>
      </c>
      <c r="I91" s="170">
        <f t="shared" si="33"/>
        <v>106738</v>
      </c>
      <c r="J91" s="181">
        <f t="shared" si="31"/>
        <v>8.1110098247746398E-2</v>
      </c>
      <c r="K91" s="169">
        <f>I91-H91</f>
        <v>8008</v>
      </c>
      <c r="L91" s="171">
        <f t="shared" si="29"/>
        <v>3.4024677757249107E-2</v>
      </c>
    </row>
    <row r="92" spans="1:12" x14ac:dyDescent="0.25">
      <c r="A92" s="1"/>
      <c r="B92" s="156" t="s">
        <v>51</v>
      </c>
      <c r="C92" s="154"/>
      <c r="D92" s="154"/>
      <c r="E92" s="154"/>
      <c r="F92" s="154"/>
      <c r="G92" s="154"/>
      <c r="H92" s="154"/>
      <c r="I92" s="154"/>
      <c r="J92" s="155"/>
      <c r="K92" s="155"/>
      <c r="L92" s="154"/>
    </row>
    <row r="93" spans="1:12" x14ac:dyDescent="0.25">
      <c r="A93" s="1"/>
      <c r="B93" s="157" t="s">
        <v>70</v>
      </c>
      <c r="C93" s="177">
        <v>28518</v>
      </c>
      <c r="D93" s="177">
        <v>13511</v>
      </c>
      <c r="E93" s="177">
        <v>12246</v>
      </c>
      <c r="F93" s="177">
        <v>25844</v>
      </c>
      <c r="G93" s="177">
        <v>32224</v>
      </c>
      <c r="H93" s="177">
        <v>30825</v>
      </c>
      <c r="I93" s="177">
        <v>29839</v>
      </c>
      <c r="J93" s="178">
        <f>IFERROR(I93/H93-1,"-")</f>
        <v>-3.1987023519870261E-2</v>
      </c>
      <c r="K93" s="177">
        <f>I93-H93</f>
        <v>-986</v>
      </c>
      <c r="L93" s="178">
        <f t="shared" ref="L93:L105" si="34">I93/I$9</f>
        <v>9.5117236560414865E-3</v>
      </c>
    </row>
    <row r="94" spans="1:12" x14ac:dyDescent="0.25">
      <c r="A94" s="1" t="s">
        <v>98</v>
      </c>
      <c r="B94" s="160" t="s">
        <v>99</v>
      </c>
      <c r="C94" s="161">
        <v>17539</v>
      </c>
      <c r="D94" s="161">
        <v>7669</v>
      </c>
      <c r="E94" s="161">
        <v>7557</v>
      </c>
      <c r="F94" s="161">
        <v>15601</v>
      </c>
      <c r="G94" s="161">
        <v>20436</v>
      </c>
      <c r="H94" s="161">
        <v>17336</v>
      </c>
      <c r="I94" s="161">
        <v>17141</v>
      </c>
      <c r="J94" s="179">
        <f>IFERROR(I94/H94-1,"-")</f>
        <v>-1.1248269497000418E-2</v>
      </c>
      <c r="K94" s="160">
        <f t="shared" ref="K94:K104" si="35">I94-H94</f>
        <v>-195</v>
      </c>
      <c r="L94" s="162">
        <f t="shared" si="34"/>
        <v>5.4640053349042225E-3</v>
      </c>
    </row>
    <row r="95" spans="1:12" x14ac:dyDescent="0.25">
      <c r="A95" s="163" t="s">
        <v>105</v>
      </c>
      <c r="B95" s="164" t="s">
        <v>105</v>
      </c>
      <c r="C95" s="165">
        <v>8236</v>
      </c>
      <c r="D95" s="165">
        <v>4352</v>
      </c>
      <c r="E95" s="165">
        <v>4335</v>
      </c>
      <c r="F95" s="165">
        <v>7360</v>
      </c>
      <c r="G95" s="165">
        <v>6042</v>
      </c>
      <c r="H95" s="165">
        <v>4738</v>
      </c>
      <c r="I95" s="165">
        <v>5566</v>
      </c>
      <c r="J95" s="180">
        <f>IFERROR(I95/H95-1,"-")</f>
        <v>0.17475728155339798</v>
      </c>
      <c r="K95" s="164">
        <f t="shared" si="35"/>
        <v>828</v>
      </c>
      <c r="L95" s="166">
        <f t="shared" si="34"/>
        <v>1.774263677386203E-3</v>
      </c>
    </row>
    <row r="96" spans="1:12" x14ac:dyDescent="0.25">
      <c r="A96" s="163" t="s">
        <v>102</v>
      </c>
      <c r="B96" s="164" t="s">
        <v>102</v>
      </c>
      <c r="C96" s="165">
        <v>9303</v>
      </c>
      <c r="D96" s="165">
        <v>3317</v>
      </c>
      <c r="E96" s="165">
        <v>3222</v>
      </c>
      <c r="F96" s="165">
        <v>8241</v>
      </c>
      <c r="G96" s="165">
        <v>14394</v>
      </c>
      <c r="H96" s="165">
        <v>12598</v>
      </c>
      <c r="I96" s="165">
        <v>11575</v>
      </c>
      <c r="J96" s="180">
        <f>IFERROR(I96/H96-1,"-")</f>
        <v>-8.1203365613589429E-2</v>
      </c>
      <c r="K96" s="164">
        <f t="shared" si="35"/>
        <v>-1023</v>
      </c>
      <c r="L96" s="166">
        <f t="shared" si="34"/>
        <v>3.6897416575180199E-3</v>
      </c>
    </row>
    <row r="97" spans="1:12" x14ac:dyDescent="0.25">
      <c r="A97" s="1"/>
      <c r="B97" s="160" t="s">
        <v>109</v>
      </c>
      <c r="C97" s="161">
        <v>10979</v>
      </c>
      <c r="D97" s="161">
        <v>5842</v>
      </c>
      <c r="E97" s="161">
        <v>4689</v>
      </c>
      <c r="F97" s="161">
        <v>10243</v>
      </c>
      <c r="G97" s="161">
        <v>11788</v>
      </c>
      <c r="H97" s="161">
        <v>13489</v>
      </c>
      <c r="I97" s="161">
        <v>12698</v>
      </c>
      <c r="J97" s="179">
        <f>IFERROR(I97/H97-1,"-")</f>
        <v>-5.8640373637778964E-2</v>
      </c>
      <c r="K97" s="160">
        <f t="shared" si="35"/>
        <v>-791</v>
      </c>
      <c r="L97" s="162">
        <f t="shared" si="34"/>
        <v>4.0477183211372631E-3</v>
      </c>
    </row>
    <row r="98" spans="1:12" s="57" customFormat="1" x14ac:dyDescent="0.25">
      <c r="B98" s="164" t="s">
        <v>112</v>
      </c>
      <c r="C98" s="165">
        <v>1535</v>
      </c>
      <c r="D98" s="165">
        <v>1092</v>
      </c>
      <c r="E98" s="165">
        <v>151</v>
      </c>
      <c r="F98" s="165">
        <v>1467</v>
      </c>
      <c r="G98" s="165">
        <v>1759</v>
      </c>
      <c r="H98" s="165">
        <v>2040</v>
      </c>
      <c r="I98" s="165">
        <v>1691</v>
      </c>
      <c r="J98" s="180">
        <f t="shared" ref="J98:J105" si="36">IFERROR(I98/H98-1,"-")</f>
        <v>-0.17107843137254897</v>
      </c>
      <c r="K98" s="164">
        <f t="shared" si="35"/>
        <v>-349</v>
      </c>
      <c r="L98" s="166">
        <f t="shared" si="34"/>
        <v>5.3903698858427402E-4</v>
      </c>
    </row>
    <row r="99" spans="1:12" s="57" customFormat="1" x14ac:dyDescent="0.25">
      <c r="B99" s="164" t="s">
        <v>115</v>
      </c>
      <c r="C99" s="165">
        <v>2628</v>
      </c>
      <c r="D99" s="165">
        <v>1303</v>
      </c>
      <c r="E99" s="165">
        <v>770</v>
      </c>
      <c r="F99" s="165">
        <v>2210</v>
      </c>
      <c r="G99" s="165">
        <v>2415</v>
      </c>
      <c r="H99" s="165">
        <v>2894</v>
      </c>
      <c r="I99" s="165">
        <v>2601</v>
      </c>
      <c r="J99" s="180">
        <f t="shared" si="36"/>
        <v>-0.1012439530062198</v>
      </c>
      <c r="K99" s="164">
        <f t="shared" si="35"/>
        <v>-293</v>
      </c>
      <c r="L99" s="166">
        <f t="shared" si="34"/>
        <v>8.2911603034163022E-4</v>
      </c>
    </row>
    <row r="100" spans="1:12" x14ac:dyDescent="0.25">
      <c r="A100" s="1"/>
      <c r="B100" s="164" t="s">
        <v>118</v>
      </c>
      <c r="C100" s="165">
        <v>2117</v>
      </c>
      <c r="D100" s="165">
        <v>1217</v>
      </c>
      <c r="E100" s="165">
        <v>1932</v>
      </c>
      <c r="F100" s="165">
        <v>1888</v>
      </c>
      <c r="G100" s="165">
        <v>2169</v>
      </c>
      <c r="H100" s="165">
        <v>2188</v>
      </c>
      <c r="I100" s="165">
        <v>2123</v>
      </c>
      <c r="J100" s="180">
        <f t="shared" si="36"/>
        <v>-2.9707495429616038E-2</v>
      </c>
      <c r="K100" s="164">
        <f t="shared" si="35"/>
        <v>-65</v>
      </c>
      <c r="L100" s="166">
        <f t="shared" si="34"/>
        <v>6.7674484137457934E-4</v>
      </c>
    </row>
    <row r="101" spans="1:12" x14ac:dyDescent="0.25">
      <c r="A101" s="1"/>
      <c r="B101" s="164" t="s">
        <v>125</v>
      </c>
      <c r="C101" s="165">
        <v>353</v>
      </c>
      <c r="D101" s="165">
        <v>278</v>
      </c>
      <c r="E101" s="165">
        <v>93</v>
      </c>
      <c r="F101" s="165">
        <v>731</v>
      </c>
      <c r="G101" s="165">
        <v>585</v>
      </c>
      <c r="H101" s="165">
        <v>661</v>
      </c>
      <c r="I101" s="165">
        <v>606</v>
      </c>
      <c r="J101" s="180">
        <f t="shared" si="36"/>
        <v>-8.3207261724659642E-2</v>
      </c>
      <c r="K101" s="164">
        <f t="shared" si="35"/>
        <v>-55</v>
      </c>
      <c r="L101" s="166">
        <f t="shared" si="34"/>
        <v>1.9317351571973391E-4</v>
      </c>
    </row>
    <row r="102" spans="1:12" x14ac:dyDescent="0.25">
      <c r="A102" s="1"/>
      <c r="B102" s="164" t="s">
        <v>121</v>
      </c>
      <c r="C102" s="165">
        <v>328</v>
      </c>
      <c r="D102" s="165">
        <v>141</v>
      </c>
      <c r="E102" s="165">
        <v>160</v>
      </c>
      <c r="F102" s="165">
        <v>403</v>
      </c>
      <c r="G102" s="165">
        <v>312</v>
      </c>
      <c r="H102" s="165">
        <v>555</v>
      </c>
      <c r="I102" s="165">
        <v>527</v>
      </c>
      <c r="J102" s="180">
        <f t="shared" si="36"/>
        <v>-5.045045045045049E-2</v>
      </c>
      <c r="K102" s="164">
        <f t="shared" si="35"/>
        <v>-28</v>
      </c>
      <c r="L102" s="166">
        <f t="shared" si="34"/>
        <v>1.6799082967706235E-4</v>
      </c>
    </row>
    <row r="103" spans="1:12" x14ac:dyDescent="0.25">
      <c r="A103" s="1"/>
      <c r="B103" s="164" t="s">
        <v>130</v>
      </c>
      <c r="C103" s="165">
        <v>120</v>
      </c>
      <c r="D103" s="165">
        <v>125</v>
      </c>
      <c r="E103" s="165">
        <v>17</v>
      </c>
      <c r="F103" s="165">
        <v>182</v>
      </c>
      <c r="G103" s="165">
        <v>90</v>
      </c>
      <c r="H103" s="165">
        <v>163</v>
      </c>
      <c r="I103" s="165">
        <v>128</v>
      </c>
      <c r="J103" s="180">
        <f t="shared" si="36"/>
        <v>-0.21472392638036808</v>
      </c>
      <c r="K103" s="164">
        <f t="shared" si="35"/>
        <v>-35</v>
      </c>
      <c r="L103" s="166">
        <f t="shared" si="34"/>
        <v>4.0802326752683071E-5</v>
      </c>
    </row>
    <row r="104" spans="1:12" x14ac:dyDescent="0.25">
      <c r="A104" s="163" t="s">
        <v>146</v>
      </c>
      <c r="B104" s="164" t="s">
        <v>133</v>
      </c>
      <c r="C104" s="165">
        <v>131</v>
      </c>
      <c r="D104" s="165">
        <v>70</v>
      </c>
      <c r="E104" s="165">
        <v>44</v>
      </c>
      <c r="F104" s="165">
        <v>100</v>
      </c>
      <c r="G104" s="165">
        <v>166</v>
      </c>
      <c r="H104" s="165">
        <v>306</v>
      </c>
      <c r="I104" s="165">
        <v>152</v>
      </c>
      <c r="J104" s="180">
        <f t="shared" si="36"/>
        <v>-0.50326797385620914</v>
      </c>
      <c r="K104" s="164">
        <f t="shared" si="35"/>
        <v>-154</v>
      </c>
      <c r="L104" s="166">
        <f t="shared" si="34"/>
        <v>4.8452763018811148E-5</v>
      </c>
    </row>
    <row r="105" spans="1:12" x14ac:dyDescent="0.25">
      <c r="A105" s="168" t="s">
        <v>147</v>
      </c>
      <c r="B105" s="169" t="s">
        <v>147</v>
      </c>
      <c r="C105" s="170">
        <f t="shared" ref="C105" si="37">C97-SUM(C98:C104)</f>
        <v>3767</v>
      </c>
      <c r="D105" s="170">
        <f t="shared" ref="D105:I105" si="38">D97-SUM(D98:D104)</f>
        <v>1616</v>
      </c>
      <c r="E105" s="170">
        <f t="shared" si="38"/>
        <v>1522</v>
      </c>
      <c r="F105" s="170">
        <f t="shared" si="38"/>
        <v>3262</v>
      </c>
      <c r="G105" s="170">
        <f t="shared" si="38"/>
        <v>4292</v>
      </c>
      <c r="H105" s="170">
        <f t="shared" si="38"/>
        <v>4682</v>
      </c>
      <c r="I105" s="170">
        <f t="shared" si="38"/>
        <v>4870</v>
      </c>
      <c r="J105" s="181">
        <f t="shared" si="36"/>
        <v>4.0153780435711273E-2</v>
      </c>
      <c r="K105" s="169">
        <f>I105-H105</f>
        <v>188</v>
      </c>
      <c r="L105" s="171">
        <f t="shared" si="34"/>
        <v>1.5524010256684887E-3</v>
      </c>
    </row>
    <row r="106" spans="1:12" x14ac:dyDescent="0.25">
      <c r="A106" s="1"/>
      <c r="B106" s="156" t="s">
        <v>52</v>
      </c>
      <c r="C106" s="154"/>
      <c r="D106" s="154"/>
      <c r="E106" s="154"/>
      <c r="F106" s="154"/>
      <c r="G106" s="154"/>
      <c r="H106" s="154"/>
      <c r="I106" s="154"/>
      <c r="J106" s="155"/>
      <c r="K106" s="155"/>
      <c r="L106" s="154"/>
    </row>
    <row r="107" spans="1:12" x14ac:dyDescent="0.25">
      <c r="A107" s="1"/>
      <c r="B107" s="157" t="s">
        <v>70</v>
      </c>
      <c r="C107" s="177">
        <v>83300</v>
      </c>
      <c r="D107" s="177">
        <v>44636</v>
      </c>
      <c r="E107" s="177">
        <v>37596</v>
      </c>
      <c r="F107" s="177">
        <v>109438</v>
      </c>
      <c r="G107" s="177">
        <v>143430</v>
      </c>
      <c r="H107" s="177">
        <v>138078</v>
      </c>
      <c r="I107" s="177">
        <v>147104</v>
      </c>
      <c r="J107" s="178">
        <f>IFERROR(I107/H107-1,"-")</f>
        <v>6.536884949086752E-2</v>
      </c>
      <c r="K107" s="177">
        <f>I107-H107</f>
        <v>9026</v>
      </c>
      <c r="L107" s="178">
        <f t="shared" ref="L107:L119" si="39">I107/I$9</f>
        <v>4.6892074020521021E-2</v>
      </c>
    </row>
    <row r="108" spans="1:12" x14ac:dyDescent="0.25">
      <c r="A108" s="1" t="s">
        <v>98</v>
      </c>
      <c r="B108" s="160" t="s">
        <v>99</v>
      </c>
      <c r="C108" s="161">
        <v>13461</v>
      </c>
      <c r="D108" s="161">
        <v>9051</v>
      </c>
      <c r="E108" s="161">
        <v>21218</v>
      </c>
      <c r="F108" s="161">
        <v>20988</v>
      </c>
      <c r="G108" s="161">
        <v>26808</v>
      </c>
      <c r="H108" s="161">
        <v>25400</v>
      </c>
      <c r="I108" s="161">
        <v>27412</v>
      </c>
      <c r="J108" s="179">
        <f>IFERROR(I108/H108-1,"-")</f>
        <v>7.921259842519679E-2</v>
      </c>
      <c r="K108" s="160">
        <f t="shared" ref="K108:K118" si="40">I108-H108</f>
        <v>2012</v>
      </c>
      <c r="L108" s="162">
        <f t="shared" si="39"/>
        <v>8.7380732886292844E-3</v>
      </c>
    </row>
    <row r="109" spans="1:12" x14ac:dyDescent="0.25">
      <c r="A109" s="163" t="s">
        <v>105</v>
      </c>
      <c r="B109" s="164" t="s">
        <v>105</v>
      </c>
      <c r="C109" s="165">
        <v>4768</v>
      </c>
      <c r="D109" s="165">
        <v>1581</v>
      </c>
      <c r="E109" s="165">
        <v>15950</v>
      </c>
      <c r="F109" s="165">
        <v>8335</v>
      </c>
      <c r="G109" s="165">
        <v>10440</v>
      </c>
      <c r="H109" s="165">
        <v>7298</v>
      </c>
      <c r="I109" s="165">
        <v>9246</v>
      </c>
      <c r="J109" s="180">
        <f>IFERROR(I109/H109-1,"-")</f>
        <v>0.26692244450534397</v>
      </c>
      <c r="K109" s="164">
        <f t="shared" si="40"/>
        <v>1948</v>
      </c>
      <c r="L109" s="166">
        <f t="shared" si="39"/>
        <v>2.9473305715258412E-3</v>
      </c>
    </row>
    <row r="110" spans="1:12" x14ac:dyDescent="0.25">
      <c r="A110" s="163" t="s">
        <v>102</v>
      </c>
      <c r="B110" s="164" t="s">
        <v>102</v>
      </c>
      <c r="C110" s="165">
        <v>8693</v>
      </c>
      <c r="D110" s="165">
        <v>7470</v>
      </c>
      <c r="E110" s="165">
        <v>5268</v>
      </c>
      <c r="F110" s="165">
        <v>12653</v>
      </c>
      <c r="G110" s="165">
        <v>16368</v>
      </c>
      <c r="H110" s="165">
        <v>18102</v>
      </c>
      <c r="I110" s="165">
        <v>18166</v>
      </c>
      <c r="J110" s="180">
        <f>IFERROR(I110/H110-1,"-")</f>
        <v>3.5355209369130058E-3</v>
      </c>
      <c r="K110" s="164">
        <f t="shared" si="40"/>
        <v>64</v>
      </c>
      <c r="L110" s="166">
        <f t="shared" si="39"/>
        <v>5.7907427171034432E-3</v>
      </c>
    </row>
    <row r="111" spans="1:12" x14ac:dyDescent="0.25">
      <c r="A111" s="1"/>
      <c r="B111" s="160" t="s">
        <v>109</v>
      </c>
      <c r="C111" s="161">
        <v>69839</v>
      </c>
      <c r="D111" s="161">
        <v>35585</v>
      </c>
      <c r="E111" s="161">
        <v>16378</v>
      </c>
      <c r="F111" s="161">
        <v>88450</v>
      </c>
      <c r="G111" s="161">
        <v>116622</v>
      </c>
      <c r="H111" s="161">
        <v>112678</v>
      </c>
      <c r="I111" s="161">
        <v>119692</v>
      </c>
      <c r="J111" s="179">
        <f>IFERROR(I111/H111-1,"-")</f>
        <v>6.2248176218960172E-2</v>
      </c>
      <c r="K111" s="160">
        <f t="shared" si="40"/>
        <v>7014</v>
      </c>
      <c r="L111" s="162">
        <f t="shared" si="39"/>
        <v>3.8154000731891735E-2</v>
      </c>
    </row>
    <row r="112" spans="1:12" s="57" customFormat="1" x14ac:dyDescent="0.25">
      <c r="B112" s="164" t="s">
        <v>112</v>
      </c>
      <c r="C112" s="165">
        <v>37478</v>
      </c>
      <c r="D112" s="165">
        <v>19611</v>
      </c>
      <c r="E112" s="165">
        <v>2616</v>
      </c>
      <c r="F112" s="165">
        <v>51306</v>
      </c>
      <c r="G112" s="165">
        <v>74047</v>
      </c>
      <c r="H112" s="165">
        <v>68012</v>
      </c>
      <c r="I112" s="165">
        <v>69216</v>
      </c>
      <c r="J112" s="180">
        <f t="shared" ref="J112:J119" si="41">IFERROR(I112/H112-1,"-")</f>
        <v>1.7702758336764157E-2</v>
      </c>
      <c r="K112" s="164">
        <f t="shared" si="40"/>
        <v>1204</v>
      </c>
      <c r="L112" s="166">
        <f t="shared" si="39"/>
        <v>2.206385819151337E-2</v>
      </c>
    </row>
    <row r="113" spans="1:12" s="57" customFormat="1" x14ac:dyDescent="0.25">
      <c r="B113" s="164" t="s">
        <v>115</v>
      </c>
      <c r="C113" s="165">
        <v>6562</v>
      </c>
      <c r="D113" s="165">
        <v>2289</v>
      </c>
      <c r="E113" s="165">
        <v>4415</v>
      </c>
      <c r="F113" s="165">
        <v>4252</v>
      </c>
      <c r="G113" s="165">
        <v>5864</v>
      </c>
      <c r="H113" s="165">
        <v>5167</v>
      </c>
      <c r="I113" s="165">
        <v>6185</v>
      </c>
      <c r="J113" s="180">
        <f t="shared" si="41"/>
        <v>0.1970195471259919</v>
      </c>
      <c r="K113" s="164">
        <f t="shared" si="40"/>
        <v>1018</v>
      </c>
      <c r="L113" s="166">
        <f t="shared" si="39"/>
        <v>1.9715811794167562E-3</v>
      </c>
    </row>
    <row r="114" spans="1:12" x14ac:dyDescent="0.25">
      <c r="A114" s="1"/>
      <c r="B114" s="164" t="s">
        <v>118</v>
      </c>
      <c r="C114" s="165">
        <v>8064</v>
      </c>
      <c r="D114" s="165">
        <v>1751</v>
      </c>
      <c r="E114" s="165">
        <v>3316</v>
      </c>
      <c r="F114" s="165">
        <v>5467</v>
      </c>
      <c r="G114" s="165">
        <v>9418</v>
      </c>
      <c r="H114" s="165">
        <v>7260</v>
      </c>
      <c r="I114" s="165">
        <v>9407</v>
      </c>
      <c r="J114" s="180">
        <f t="shared" si="41"/>
        <v>0.29573002754820932</v>
      </c>
      <c r="K114" s="164">
        <f t="shared" si="40"/>
        <v>2147</v>
      </c>
      <c r="L114" s="166">
        <f t="shared" si="39"/>
        <v>2.9986522481444504E-3</v>
      </c>
    </row>
    <row r="115" spans="1:12" x14ac:dyDescent="0.25">
      <c r="A115" s="1"/>
      <c r="B115" s="164" t="s">
        <v>125</v>
      </c>
      <c r="C115" s="165">
        <v>1827</v>
      </c>
      <c r="D115" s="165">
        <v>686</v>
      </c>
      <c r="E115" s="165">
        <v>798</v>
      </c>
      <c r="F115" s="165">
        <v>4402</v>
      </c>
      <c r="G115" s="165">
        <v>3904</v>
      </c>
      <c r="H115" s="165">
        <v>4176</v>
      </c>
      <c r="I115" s="165">
        <v>4249</v>
      </c>
      <c r="J115" s="180">
        <f t="shared" si="41"/>
        <v>1.7480842911877348E-2</v>
      </c>
      <c r="K115" s="164">
        <f t="shared" si="40"/>
        <v>73</v>
      </c>
      <c r="L115" s="166">
        <f t="shared" si="39"/>
        <v>1.3544459872824248E-3</v>
      </c>
    </row>
    <row r="116" spans="1:12" x14ac:dyDescent="0.25">
      <c r="A116" s="1"/>
      <c r="B116" s="164" t="s">
        <v>121</v>
      </c>
      <c r="C116" s="165">
        <v>2185</v>
      </c>
      <c r="D116" s="165">
        <v>1071</v>
      </c>
      <c r="E116" s="165">
        <v>1234</v>
      </c>
      <c r="F116" s="165">
        <v>3324</v>
      </c>
      <c r="G116" s="165">
        <v>2903</v>
      </c>
      <c r="H116" s="165">
        <v>3174</v>
      </c>
      <c r="I116" s="165">
        <v>3073</v>
      </c>
      <c r="J116" s="180">
        <f t="shared" si="41"/>
        <v>-3.1821045998739805E-2</v>
      </c>
      <c r="K116" s="164">
        <f t="shared" si="40"/>
        <v>-101</v>
      </c>
      <c r="L116" s="166">
        <f t="shared" si="39"/>
        <v>9.7957461024214911E-4</v>
      </c>
    </row>
    <row r="117" spans="1:12" x14ac:dyDescent="0.25">
      <c r="A117" s="1"/>
      <c r="B117" s="164" t="s">
        <v>130</v>
      </c>
      <c r="C117" s="165">
        <v>564</v>
      </c>
      <c r="D117" s="165">
        <v>440</v>
      </c>
      <c r="E117" s="165">
        <v>14</v>
      </c>
      <c r="F117" s="165">
        <v>569</v>
      </c>
      <c r="G117" s="165">
        <v>833</v>
      </c>
      <c r="H117" s="165">
        <v>1190</v>
      </c>
      <c r="I117" s="165">
        <v>974</v>
      </c>
      <c r="J117" s="180">
        <f t="shared" si="41"/>
        <v>-0.18151260504201683</v>
      </c>
      <c r="K117" s="164">
        <f t="shared" si="40"/>
        <v>-216</v>
      </c>
      <c r="L117" s="166">
        <f t="shared" si="39"/>
        <v>3.1048020513369776E-4</v>
      </c>
    </row>
    <row r="118" spans="1:12" x14ac:dyDescent="0.25">
      <c r="A118" s="163" t="s">
        <v>146</v>
      </c>
      <c r="B118" s="164" t="s">
        <v>133</v>
      </c>
      <c r="C118" s="165">
        <v>1060</v>
      </c>
      <c r="D118" s="165">
        <v>1160</v>
      </c>
      <c r="E118" s="165">
        <v>23</v>
      </c>
      <c r="F118" s="165">
        <v>841</v>
      </c>
      <c r="G118" s="165">
        <v>577</v>
      </c>
      <c r="H118" s="165">
        <v>1380</v>
      </c>
      <c r="I118" s="165">
        <v>859</v>
      </c>
      <c r="J118" s="180">
        <f t="shared" si="41"/>
        <v>-0.37753623188405794</v>
      </c>
      <c r="K118" s="164">
        <f t="shared" si="40"/>
        <v>-521</v>
      </c>
      <c r="L118" s="166">
        <f t="shared" si="39"/>
        <v>2.7382186469183408E-4</v>
      </c>
    </row>
    <row r="119" spans="1:12" x14ac:dyDescent="0.25">
      <c r="A119" s="168" t="s">
        <v>147</v>
      </c>
      <c r="B119" s="169" t="s">
        <v>147</v>
      </c>
      <c r="C119" s="170">
        <f t="shared" ref="C119" si="42">C111-SUM(C112:C118)</f>
        <v>12099</v>
      </c>
      <c r="D119" s="170">
        <f t="shared" ref="D119:I119" si="43">D111-SUM(D112:D118)</f>
        <v>8577</v>
      </c>
      <c r="E119" s="170">
        <f t="shared" si="43"/>
        <v>3962</v>
      </c>
      <c r="F119" s="170">
        <f t="shared" si="43"/>
        <v>18289</v>
      </c>
      <c r="G119" s="170">
        <f t="shared" si="43"/>
        <v>19076</v>
      </c>
      <c r="H119" s="170">
        <f t="shared" si="43"/>
        <v>22319</v>
      </c>
      <c r="I119" s="170">
        <f t="shared" si="43"/>
        <v>25729</v>
      </c>
      <c r="J119" s="181">
        <f t="shared" si="41"/>
        <v>0.1527846229669787</v>
      </c>
      <c r="K119" s="169">
        <f>I119-H119</f>
        <v>3410</v>
      </c>
      <c r="L119" s="171">
        <f t="shared" si="39"/>
        <v>8.2015864454670524E-3</v>
      </c>
    </row>
    <row r="120" spans="1:12" x14ac:dyDescent="0.25">
      <c r="A120" s="1"/>
      <c r="B120" s="156" t="s">
        <v>53</v>
      </c>
      <c r="C120" s="154"/>
      <c r="D120" s="154"/>
      <c r="E120" s="154"/>
      <c r="F120" s="154"/>
      <c r="G120" s="154"/>
      <c r="H120" s="154"/>
      <c r="I120" s="154"/>
      <c r="J120" s="155"/>
      <c r="K120" s="155"/>
      <c r="L120" s="154"/>
    </row>
    <row r="121" spans="1:12" x14ac:dyDescent="0.25">
      <c r="A121" s="1"/>
      <c r="B121" s="157" t="s">
        <v>70</v>
      </c>
      <c r="C121" s="177">
        <v>117158</v>
      </c>
      <c r="D121" s="177">
        <v>55825</v>
      </c>
      <c r="E121" s="177">
        <v>60421</v>
      </c>
      <c r="F121" s="177">
        <v>109587</v>
      </c>
      <c r="G121" s="177">
        <v>132057</v>
      </c>
      <c r="H121" s="177">
        <v>131356</v>
      </c>
      <c r="I121" s="177">
        <v>146899</v>
      </c>
      <c r="J121" s="178">
        <f>IFERROR(I121/H121-1,"-")</f>
        <v>0.11832729376655804</v>
      </c>
      <c r="K121" s="177">
        <f>I121-H121</f>
        <v>15543</v>
      </c>
      <c r="L121" s="178">
        <f t="shared" ref="L121:L133" si="44">I121/I$9</f>
        <v>4.6826726544081175E-2</v>
      </c>
    </row>
    <row r="122" spans="1:12" x14ac:dyDescent="0.25">
      <c r="A122" s="1" t="s">
        <v>98</v>
      </c>
      <c r="B122" s="160" t="s">
        <v>99</v>
      </c>
      <c r="C122" s="161">
        <v>60924</v>
      </c>
      <c r="D122" s="161">
        <v>28023</v>
      </c>
      <c r="E122" s="161">
        <v>39488</v>
      </c>
      <c r="F122" s="161">
        <v>64967</v>
      </c>
      <c r="G122" s="161">
        <v>78816</v>
      </c>
      <c r="H122" s="161">
        <v>78033</v>
      </c>
      <c r="I122" s="161">
        <v>90645</v>
      </c>
      <c r="J122" s="179">
        <f>IFERROR(I122/H122-1,"-")</f>
        <v>0.16162392833801076</v>
      </c>
      <c r="K122" s="160">
        <f t="shared" ref="K122:K132" si="45">I122-H122</f>
        <v>12612</v>
      </c>
      <c r="L122" s="162">
        <f t="shared" si="44"/>
        <v>2.8894741472632476E-2</v>
      </c>
    </row>
    <row r="123" spans="1:12" x14ac:dyDescent="0.25">
      <c r="A123" s="163" t="s">
        <v>105</v>
      </c>
      <c r="B123" s="164" t="s">
        <v>105</v>
      </c>
      <c r="C123" s="165">
        <v>29283</v>
      </c>
      <c r="D123" s="165">
        <v>14178</v>
      </c>
      <c r="E123" s="165">
        <v>21239</v>
      </c>
      <c r="F123" s="165">
        <v>32360</v>
      </c>
      <c r="G123" s="165">
        <v>36519</v>
      </c>
      <c r="H123" s="165">
        <v>34958</v>
      </c>
      <c r="I123" s="165">
        <v>45236</v>
      </c>
      <c r="J123" s="180">
        <f>IFERROR(I123/H123-1,"-")</f>
        <v>0.29400995480290626</v>
      </c>
      <c r="K123" s="164">
        <f t="shared" si="45"/>
        <v>10278</v>
      </c>
      <c r="L123" s="166">
        <f t="shared" si="44"/>
        <v>1.4419797288940403E-2</v>
      </c>
    </row>
    <row r="124" spans="1:12" x14ac:dyDescent="0.25">
      <c r="A124" s="163" t="s">
        <v>102</v>
      </c>
      <c r="B124" s="164" t="s">
        <v>102</v>
      </c>
      <c r="C124" s="165">
        <v>31641</v>
      </c>
      <c r="D124" s="165">
        <v>13845</v>
      </c>
      <c r="E124" s="165">
        <v>18249</v>
      </c>
      <c r="F124" s="165">
        <v>32607</v>
      </c>
      <c r="G124" s="165">
        <v>42297</v>
      </c>
      <c r="H124" s="165">
        <v>43075</v>
      </c>
      <c r="I124" s="165">
        <v>45409</v>
      </c>
      <c r="J124" s="180">
        <f>IFERROR(I124/H124-1,"-")</f>
        <v>5.4184561810795229E-2</v>
      </c>
      <c r="K124" s="164">
        <f t="shared" si="45"/>
        <v>2334</v>
      </c>
      <c r="L124" s="166">
        <f t="shared" si="44"/>
        <v>1.4474944183692075E-2</v>
      </c>
    </row>
    <row r="125" spans="1:12" x14ac:dyDescent="0.25">
      <c r="A125" s="1"/>
      <c r="B125" s="160" t="s">
        <v>109</v>
      </c>
      <c r="C125" s="161">
        <v>56234</v>
      </c>
      <c r="D125" s="161">
        <v>27802</v>
      </c>
      <c r="E125" s="161">
        <v>20933</v>
      </c>
      <c r="F125" s="161">
        <v>44620</v>
      </c>
      <c r="G125" s="161">
        <v>53241</v>
      </c>
      <c r="H125" s="161">
        <v>53323</v>
      </c>
      <c r="I125" s="161">
        <v>56254</v>
      </c>
      <c r="J125" s="179">
        <f>IFERROR(I125/H125-1,"-")</f>
        <v>5.496689983684333E-2</v>
      </c>
      <c r="K125" s="160">
        <f t="shared" si="45"/>
        <v>2931</v>
      </c>
      <c r="L125" s="162">
        <f t="shared" si="44"/>
        <v>1.7931985071448699E-2</v>
      </c>
    </row>
    <row r="126" spans="1:12" s="57" customFormat="1" x14ac:dyDescent="0.25">
      <c r="B126" s="164" t="s">
        <v>112</v>
      </c>
      <c r="C126" s="165">
        <v>6033</v>
      </c>
      <c r="D126" s="165">
        <v>3076</v>
      </c>
      <c r="E126" s="165">
        <v>654</v>
      </c>
      <c r="F126" s="165">
        <v>4499</v>
      </c>
      <c r="G126" s="165">
        <v>6414</v>
      </c>
      <c r="H126" s="165">
        <v>6590</v>
      </c>
      <c r="I126" s="165">
        <v>5889</v>
      </c>
      <c r="J126" s="180">
        <f t="shared" ref="J126:J133" si="46">IFERROR(I126/H126-1,"-")</f>
        <v>-0.10637329286798181</v>
      </c>
      <c r="K126" s="164">
        <f t="shared" si="45"/>
        <v>-701</v>
      </c>
      <c r="L126" s="166">
        <f t="shared" si="44"/>
        <v>1.8772257988011766E-3</v>
      </c>
    </row>
    <row r="127" spans="1:12" s="57" customFormat="1" x14ac:dyDescent="0.25">
      <c r="B127" s="164" t="s">
        <v>115</v>
      </c>
      <c r="C127" s="165">
        <v>5990</v>
      </c>
      <c r="D127" s="165">
        <v>3190</v>
      </c>
      <c r="E127" s="165">
        <v>2227</v>
      </c>
      <c r="F127" s="165">
        <v>5139</v>
      </c>
      <c r="G127" s="165">
        <v>8179</v>
      </c>
      <c r="H127" s="165">
        <v>7800</v>
      </c>
      <c r="I127" s="165">
        <v>8602</v>
      </c>
      <c r="J127" s="180">
        <f t="shared" si="46"/>
        <v>0.10282051282051285</v>
      </c>
      <c r="K127" s="164">
        <f t="shared" si="45"/>
        <v>802</v>
      </c>
      <c r="L127" s="166">
        <f t="shared" si="44"/>
        <v>2.7420438650514046E-3</v>
      </c>
    </row>
    <row r="128" spans="1:12" x14ac:dyDescent="0.25">
      <c r="A128" s="1"/>
      <c r="B128" s="164" t="s">
        <v>118</v>
      </c>
      <c r="C128" s="165">
        <v>3749</v>
      </c>
      <c r="D128" s="165">
        <v>2062</v>
      </c>
      <c r="E128" s="165">
        <v>3034</v>
      </c>
      <c r="F128" s="165">
        <v>4333</v>
      </c>
      <c r="G128" s="165">
        <v>4805</v>
      </c>
      <c r="H128" s="165">
        <v>4451</v>
      </c>
      <c r="I128" s="165">
        <v>4524</v>
      </c>
      <c r="J128" s="180">
        <f t="shared" si="46"/>
        <v>1.6400808807009559E-2</v>
      </c>
      <c r="K128" s="164">
        <f t="shared" si="45"/>
        <v>73</v>
      </c>
      <c r="L128" s="166">
        <f t="shared" si="44"/>
        <v>1.4421072361651423E-3</v>
      </c>
    </row>
    <row r="129" spans="1:12" x14ac:dyDescent="0.25">
      <c r="A129" s="1"/>
      <c r="B129" s="164" t="s">
        <v>125</v>
      </c>
      <c r="C129" s="165">
        <v>937</v>
      </c>
      <c r="D129" s="165">
        <v>560</v>
      </c>
      <c r="E129" s="165">
        <v>320</v>
      </c>
      <c r="F129" s="165">
        <v>1256</v>
      </c>
      <c r="G129" s="165">
        <v>1296</v>
      </c>
      <c r="H129" s="165">
        <v>1341</v>
      </c>
      <c r="I129" s="165">
        <v>1402</v>
      </c>
      <c r="J129" s="180">
        <f t="shared" si="46"/>
        <v>4.5488441461595919E-2</v>
      </c>
      <c r="K129" s="164">
        <f t="shared" si="45"/>
        <v>61</v>
      </c>
      <c r="L129" s="166">
        <f t="shared" si="44"/>
        <v>4.4691298521298177E-4</v>
      </c>
    </row>
    <row r="130" spans="1:12" x14ac:dyDescent="0.25">
      <c r="A130" s="1"/>
      <c r="B130" s="164" t="s">
        <v>121</v>
      </c>
      <c r="C130" s="165">
        <v>811</v>
      </c>
      <c r="D130" s="165">
        <v>480</v>
      </c>
      <c r="E130" s="165">
        <v>319</v>
      </c>
      <c r="F130" s="165">
        <v>940</v>
      </c>
      <c r="G130" s="165">
        <v>1012</v>
      </c>
      <c r="H130" s="165">
        <v>1079</v>
      </c>
      <c r="I130" s="165">
        <v>1193</v>
      </c>
      <c r="J130" s="180">
        <f t="shared" si="46"/>
        <v>0.10565338276181646</v>
      </c>
      <c r="K130" s="164">
        <f t="shared" si="45"/>
        <v>114</v>
      </c>
      <c r="L130" s="166">
        <f t="shared" si="44"/>
        <v>3.8029043606211646E-4</v>
      </c>
    </row>
    <row r="131" spans="1:12" x14ac:dyDescent="0.25">
      <c r="A131" s="1"/>
      <c r="B131" s="164" t="s">
        <v>130</v>
      </c>
      <c r="C131" s="165">
        <v>1067</v>
      </c>
      <c r="D131" s="165">
        <v>673</v>
      </c>
      <c r="E131" s="165">
        <v>35</v>
      </c>
      <c r="F131" s="165">
        <v>613</v>
      </c>
      <c r="G131" s="165">
        <v>817</v>
      </c>
      <c r="H131" s="165">
        <v>928</v>
      </c>
      <c r="I131" s="165">
        <v>734</v>
      </c>
      <c r="J131" s="180">
        <f t="shared" si="46"/>
        <v>-0.20905172413793105</v>
      </c>
      <c r="K131" s="164">
        <f t="shared" si="45"/>
        <v>-194</v>
      </c>
      <c r="L131" s="166">
        <f t="shared" si="44"/>
        <v>2.3397584247241698E-4</v>
      </c>
    </row>
    <row r="132" spans="1:12" x14ac:dyDescent="0.25">
      <c r="A132" s="163" t="s">
        <v>146</v>
      </c>
      <c r="B132" s="164" t="s">
        <v>133</v>
      </c>
      <c r="C132" s="165">
        <v>1628</v>
      </c>
      <c r="D132" s="165">
        <v>1018</v>
      </c>
      <c r="E132" s="165">
        <v>149</v>
      </c>
      <c r="F132" s="165">
        <v>1077</v>
      </c>
      <c r="G132" s="165">
        <v>1517</v>
      </c>
      <c r="H132" s="165">
        <v>1432</v>
      </c>
      <c r="I132" s="165">
        <v>1392</v>
      </c>
      <c r="J132" s="180">
        <f t="shared" si="46"/>
        <v>-2.7932960893854775E-2</v>
      </c>
      <c r="K132" s="164">
        <f t="shared" si="45"/>
        <v>-40</v>
      </c>
      <c r="L132" s="166">
        <f t="shared" si="44"/>
        <v>4.4372530343542838E-4</v>
      </c>
    </row>
    <row r="133" spans="1:12" x14ac:dyDescent="0.25">
      <c r="A133" s="168" t="s">
        <v>147</v>
      </c>
      <c r="B133" s="169" t="s">
        <v>147</v>
      </c>
      <c r="C133" s="170">
        <f t="shared" ref="C133" si="47">C125-SUM(C126:C132)</f>
        <v>36019</v>
      </c>
      <c r="D133" s="170">
        <f t="shared" ref="D133:I133" si="48">D125-SUM(D126:D132)</f>
        <v>16743</v>
      </c>
      <c r="E133" s="170">
        <f t="shared" si="48"/>
        <v>14195</v>
      </c>
      <c r="F133" s="170">
        <f t="shared" si="48"/>
        <v>26763</v>
      </c>
      <c r="G133" s="170">
        <f t="shared" si="48"/>
        <v>29201</v>
      </c>
      <c r="H133" s="170">
        <f t="shared" si="48"/>
        <v>29702</v>
      </c>
      <c r="I133" s="170">
        <f t="shared" si="48"/>
        <v>32518</v>
      </c>
      <c r="J133" s="181">
        <f t="shared" si="46"/>
        <v>9.4808430408726663E-2</v>
      </c>
      <c r="K133" s="169">
        <f>I133-H133</f>
        <v>2816</v>
      </c>
      <c r="L133" s="171">
        <f t="shared" si="44"/>
        <v>1.0365703604248032E-2</v>
      </c>
    </row>
    <row r="134" spans="1:12" x14ac:dyDescent="0.25">
      <c r="A134" s="1"/>
      <c r="B134" s="156" t="s">
        <v>54</v>
      </c>
      <c r="C134" s="154"/>
      <c r="D134" s="154"/>
      <c r="E134" s="154"/>
      <c r="F134" s="154"/>
      <c r="G134" s="154"/>
      <c r="H134" s="154"/>
      <c r="I134" s="154"/>
      <c r="J134" s="155"/>
      <c r="K134" s="155"/>
      <c r="L134" s="154"/>
    </row>
    <row r="135" spans="1:12" x14ac:dyDescent="0.25">
      <c r="A135" s="1"/>
      <c r="B135" s="157" t="s">
        <v>70</v>
      </c>
      <c r="C135" s="177">
        <v>138920</v>
      </c>
      <c r="D135" s="177">
        <v>65963</v>
      </c>
      <c r="E135" s="177">
        <v>37492</v>
      </c>
      <c r="F135" s="177">
        <v>145591</v>
      </c>
      <c r="G135" s="177">
        <v>159135</v>
      </c>
      <c r="H135" s="177">
        <v>171016</v>
      </c>
      <c r="I135" s="177">
        <v>163088</v>
      </c>
      <c r="J135" s="178">
        <f>IFERROR(I135/H135-1,"-")</f>
        <v>-4.635823548673812E-2</v>
      </c>
      <c r="K135" s="177">
        <f>I135-H135</f>
        <v>-7928</v>
      </c>
      <c r="L135" s="178">
        <f t="shared" ref="L135:L147" si="49">I135/I$9</f>
        <v>5.1987264573762321E-2</v>
      </c>
    </row>
    <row r="136" spans="1:12" x14ac:dyDescent="0.25">
      <c r="A136" s="1" t="s">
        <v>98</v>
      </c>
      <c r="B136" s="160" t="s">
        <v>99</v>
      </c>
      <c r="C136" s="161">
        <v>19820</v>
      </c>
      <c r="D136" s="161">
        <v>2995</v>
      </c>
      <c r="E136" s="161">
        <v>20988</v>
      </c>
      <c r="F136" s="161">
        <v>12404</v>
      </c>
      <c r="G136" s="161">
        <v>15717</v>
      </c>
      <c r="H136" s="161">
        <v>12210</v>
      </c>
      <c r="I136" s="161">
        <v>10260</v>
      </c>
      <c r="J136" s="179">
        <f>IFERROR(I136/H136-1,"-")</f>
        <v>-0.15970515970515975</v>
      </c>
      <c r="K136" s="160">
        <f t="shared" ref="K136:K146" si="50">I136-H136</f>
        <v>-1950</v>
      </c>
      <c r="L136" s="162">
        <f t="shared" si="49"/>
        <v>3.2705615037697524E-3</v>
      </c>
    </row>
    <row r="137" spans="1:12" x14ac:dyDescent="0.25">
      <c r="A137" s="163" t="s">
        <v>105</v>
      </c>
      <c r="B137" s="164" t="s">
        <v>105</v>
      </c>
      <c r="C137" s="165">
        <v>11830</v>
      </c>
      <c r="D137" s="165">
        <v>1936</v>
      </c>
      <c r="E137" s="165">
        <v>17701</v>
      </c>
      <c r="F137" s="165">
        <v>8191</v>
      </c>
      <c r="G137" s="165">
        <v>10220</v>
      </c>
      <c r="H137" s="165">
        <v>7651</v>
      </c>
      <c r="I137" s="165">
        <v>4818</v>
      </c>
      <c r="J137" s="180">
        <f>IFERROR(I137/H137-1,"-")</f>
        <v>-0.3702783949810482</v>
      </c>
      <c r="K137" s="164">
        <f t="shared" si="50"/>
        <v>-2833</v>
      </c>
      <c r="L137" s="166">
        <f t="shared" si="49"/>
        <v>1.5358250804252112E-3</v>
      </c>
    </row>
    <row r="138" spans="1:12" x14ac:dyDescent="0.25">
      <c r="A138" s="163" t="s">
        <v>102</v>
      </c>
      <c r="B138" s="164" t="s">
        <v>102</v>
      </c>
      <c r="C138" s="165">
        <v>7990</v>
      </c>
      <c r="D138" s="165">
        <v>1059</v>
      </c>
      <c r="E138" s="165">
        <v>3287</v>
      </c>
      <c r="F138" s="165">
        <v>4213</v>
      </c>
      <c r="G138" s="165">
        <v>5497</v>
      </c>
      <c r="H138" s="165">
        <v>4559</v>
      </c>
      <c r="I138" s="165">
        <v>5442</v>
      </c>
      <c r="J138" s="180">
        <f>IFERROR(I138/H138-1,"-")</f>
        <v>0.1936828251809608</v>
      </c>
      <c r="K138" s="164">
        <f t="shared" si="50"/>
        <v>883</v>
      </c>
      <c r="L138" s="166">
        <f t="shared" si="49"/>
        <v>1.7347364233445412E-3</v>
      </c>
    </row>
    <row r="139" spans="1:12" x14ac:dyDescent="0.25">
      <c r="A139" s="1"/>
      <c r="B139" s="160" t="s">
        <v>109</v>
      </c>
      <c r="C139" s="161">
        <v>119100</v>
      </c>
      <c r="D139" s="161">
        <v>62968</v>
      </c>
      <c r="E139" s="161">
        <v>16504</v>
      </c>
      <c r="F139" s="161">
        <v>133187</v>
      </c>
      <c r="G139" s="161">
        <v>143418</v>
      </c>
      <c r="H139" s="161">
        <v>158806</v>
      </c>
      <c r="I139" s="161">
        <v>152828</v>
      </c>
      <c r="J139" s="179">
        <f>IFERROR(I139/H139-1,"-")</f>
        <v>-3.7643413976801932E-2</v>
      </c>
      <c r="K139" s="160">
        <f t="shared" si="50"/>
        <v>-5978</v>
      </c>
      <c r="L139" s="162">
        <f t="shared" si="49"/>
        <v>4.8716703069992567E-2</v>
      </c>
    </row>
    <row r="140" spans="1:12" s="57" customFormat="1" x14ac:dyDescent="0.25">
      <c r="B140" s="164" t="s">
        <v>112</v>
      </c>
      <c r="C140" s="165">
        <v>55873</v>
      </c>
      <c r="D140" s="165">
        <v>28766</v>
      </c>
      <c r="E140" s="165">
        <v>584</v>
      </c>
      <c r="F140" s="165">
        <v>54921</v>
      </c>
      <c r="G140" s="165">
        <v>57594</v>
      </c>
      <c r="H140" s="165">
        <v>68579</v>
      </c>
      <c r="I140" s="165">
        <v>69320</v>
      </c>
      <c r="J140" s="180">
        <f t="shared" ref="J140:J147" si="51">IFERROR(I140/H140-1,"-")</f>
        <v>1.0805056941629365E-2</v>
      </c>
      <c r="K140" s="164">
        <f t="shared" si="50"/>
        <v>741</v>
      </c>
      <c r="L140" s="166">
        <f t="shared" si="49"/>
        <v>2.2097010081999924E-2</v>
      </c>
    </row>
    <row r="141" spans="1:12" s="57" customFormat="1" x14ac:dyDescent="0.25">
      <c r="B141" s="164" t="s">
        <v>115</v>
      </c>
      <c r="C141" s="165">
        <v>7954</v>
      </c>
      <c r="D141" s="165">
        <v>4028</v>
      </c>
      <c r="E141" s="165">
        <v>1813</v>
      </c>
      <c r="F141" s="165">
        <v>9374</v>
      </c>
      <c r="G141" s="165">
        <v>12762</v>
      </c>
      <c r="H141" s="165">
        <v>14699</v>
      </c>
      <c r="I141" s="165">
        <v>12956</v>
      </c>
      <c r="J141" s="180">
        <f t="shared" si="51"/>
        <v>-0.11857949520375533</v>
      </c>
      <c r="K141" s="164">
        <f t="shared" si="50"/>
        <v>-1743</v>
      </c>
      <c r="L141" s="166">
        <f t="shared" si="49"/>
        <v>4.1299605109981399E-3</v>
      </c>
    </row>
    <row r="142" spans="1:12" x14ac:dyDescent="0.25">
      <c r="A142" s="1"/>
      <c r="B142" s="164" t="s">
        <v>118</v>
      </c>
      <c r="C142" s="165">
        <v>11202</v>
      </c>
      <c r="D142" s="165">
        <v>4260</v>
      </c>
      <c r="E142" s="165">
        <v>5088</v>
      </c>
      <c r="F142" s="165">
        <v>16018</v>
      </c>
      <c r="G142" s="165">
        <v>14895</v>
      </c>
      <c r="H142" s="165">
        <v>16078</v>
      </c>
      <c r="I142" s="165">
        <v>13426</v>
      </c>
      <c r="J142" s="180">
        <f t="shared" si="51"/>
        <v>-0.16494588879213834</v>
      </c>
      <c r="K142" s="164">
        <f t="shared" si="50"/>
        <v>-2652</v>
      </c>
      <c r="L142" s="166">
        <f t="shared" si="49"/>
        <v>4.2797815545431482E-3</v>
      </c>
    </row>
    <row r="143" spans="1:12" x14ac:dyDescent="0.25">
      <c r="A143" s="1"/>
      <c r="B143" s="164" t="s">
        <v>125</v>
      </c>
      <c r="C143" s="165">
        <v>2523</v>
      </c>
      <c r="D143" s="165">
        <v>933</v>
      </c>
      <c r="E143" s="165">
        <v>243</v>
      </c>
      <c r="F143" s="165">
        <v>5882</v>
      </c>
      <c r="G143" s="165">
        <v>5354</v>
      </c>
      <c r="H143" s="165">
        <v>4249</v>
      </c>
      <c r="I143" s="165">
        <v>3703</v>
      </c>
      <c r="J143" s="180">
        <f t="shared" si="51"/>
        <v>-0.12850082372322902</v>
      </c>
      <c r="K143" s="164">
        <f t="shared" si="50"/>
        <v>-546</v>
      </c>
      <c r="L143" s="166">
        <f t="shared" si="49"/>
        <v>1.1803985622280111E-3</v>
      </c>
    </row>
    <row r="144" spans="1:12" x14ac:dyDescent="0.25">
      <c r="A144" s="1"/>
      <c r="B144" s="164" t="s">
        <v>121</v>
      </c>
      <c r="C144" s="165">
        <v>2334</v>
      </c>
      <c r="D144" s="165">
        <v>1112</v>
      </c>
      <c r="E144" s="165">
        <v>498</v>
      </c>
      <c r="F144" s="165">
        <v>2768</v>
      </c>
      <c r="G144" s="165">
        <v>2935</v>
      </c>
      <c r="H144" s="165">
        <v>3675</v>
      </c>
      <c r="I144" s="165">
        <v>2707</v>
      </c>
      <c r="J144" s="180">
        <f t="shared" si="51"/>
        <v>-0.2634013605442177</v>
      </c>
      <c r="K144" s="164">
        <f t="shared" si="50"/>
        <v>-968</v>
      </c>
      <c r="L144" s="166">
        <f t="shared" si="49"/>
        <v>8.6290545718369592E-4</v>
      </c>
    </row>
    <row r="145" spans="1:12" x14ac:dyDescent="0.25">
      <c r="A145" s="1"/>
      <c r="B145" s="164" t="s">
        <v>130</v>
      </c>
      <c r="C145" s="165">
        <v>1834</v>
      </c>
      <c r="D145" s="165">
        <v>2356</v>
      </c>
      <c r="E145" s="165">
        <v>38</v>
      </c>
      <c r="F145" s="165">
        <v>2295</v>
      </c>
      <c r="G145" s="165">
        <v>2747</v>
      </c>
      <c r="H145" s="165">
        <v>2517</v>
      </c>
      <c r="I145" s="165">
        <v>2700</v>
      </c>
      <c r="J145" s="180">
        <f t="shared" si="51"/>
        <v>7.2705601907032236E-2</v>
      </c>
      <c r="K145" s="164">
        <f t="shared" si="50"/>
        <v>183</v>
      </c>
      <c r="L145" s="166">
        <f t="shared" si="49"/>
        <v>8.6067407993940857E-4</v>
      </c>
    </row>
    <row r="146" spans="1:12" x14ac:dyDescent="0.25">
      <c r="A146" s="163" t="s">
        <v>146</v>
      </c>
      <c r="B146" s="164" t="s">
        <v>133</v>
      </c>
      <c r="C146" s="165">
        <v>5396</v>
      </c>
      <c r="D146" s="165">
        <v>4700</v>
      </c>
      <c r="E146" s="165">
        <v>53</v>
      </c>
      <c r="F146" s="165">
        <v>1105</v>
      </c>
      <c r="G146" s="165">
        <v>2019</v>
      </c>
      <c r="H146" s="165">
        <v>1852</v>
      </c>
      <c r="I146" s="165">
        <v>1343</v>
      </c>
      <c r="J146" s="180">
        <f t="shared" si="51"/>
        <v>-0.27483801295896326</v>
      </c>
      <c r="K146" s="164">
        <f t="shared" si="50"/>
        <v>-509</v>
      </c>
      <c r="L146" s="166">
        <f t="shared" si="49"/>
        <v>4.2810566272541694E-4</v>
      </c>
    </row>
    <row r="147" spans="1:12" x14ac:dyDescent="0.25">
      <c r="A147" s="168" t="s">
        <v>147</v>
      </c>
      <c r="B147" s="169" t="s">
        <v>147</v>
      </c>
      <c r="C147" s="170">
        <f t="shared" ref="C147" si="52">C139-SUM(C140:C146)</f>
        <v>31984</v>
      </c>
      <c r="D147" s="170">
        <f t="shared" ref="D147:I147" si="53">D139-SUM(D140:D146)</f>
        <v>16813</v>
      </c>
      <c r="E147" s="170">
        <f t="shared" si="53"/>
        <v>8187</v>
      </c>
      <c r="F147" s="170">
        <f t="shared" si="53"/>
        <v>40824</v>
      </c>
      <c r="G147" s="170">
        <f t="shared" si="53"/>
        <v>45112</v>
      </c>
      <c r="H147" s="170">
        <f t="shared" si="53"/>
        <v>47157</v>
      </c>
      <c r="I147" s="170">
        <f t="shared" si="53"/>
        <v>46673</v>
      </c>
      <c r="J147" s="181">
        <f t="shared" si="51"/>
        <v>-1.0263587590389589E-2</v>
      </c>
      <c r="K147" s="169">
        <f>I147-H147</f>
        <v>-484</v>
      </c>
      <c r="L147" s="171">
        <f t="shared" si="49"/>
        <v>1.4877867160374821E-2</v>
      </c>
    </row>
    <row r="148" spans="1:12" x14ac:dyDescent="0.25">
      <c r="A148" s="1"/>
      <c r="B148" s="156" t="s">
        <v>55</v>
      </c>
      <c r="C148" s="154"/>
      <c r="D148" s="154"/>
      <c r="E148" s="154"/>
      <c r="F148" s="154"/>
      <c r="G148" s="154"/>
      <c r="H148" s="154"/>
      <c r="I148" s="154"/>
      <c r="J148" s="155"/>
      <c r="K148" s="155"/>
      <c r="L148" s="154"/>
    </row>
    <row r="149" spans="1:12" x14ac:dyDescent="0.25">
      <c r="A149" s="1"/>
      <c r="B149" s="157" t="s">
        <v>70</v>
      </c>
      <c r="C149" s="177">
        <v>74174</v>
      </c>
      <c r="D149" s="177">
        <v>29561</v>
      </c>
      <c r="E149" s="177">
        <v>23840</v>
      </c>
      <c r="F149" s="177">
        <v>60388</v>
      </c>
      <c r="G149" s="177">
        <v>70498</v>
      </c>
      <c r="H149" s="177">
        <v>71735</v>
      </c>
      <c r="I149" s="177">
        <v>69246</v>
      </c>
      <c r="J149" s="178">
        <f>IFERROR(I149/H149-1,"-")</f>
        <v>-3.4697149229804158E-2</v>
      </c>
      <c r="K149" s="177">
        <f>I149-H149</f>
        <v>-2489</v>
      </c>
      <c r="L149" s="178">
        <f t="shared" ref="L149:L161" si="54">I149/I$9</f>
        <v>2.2073421236846032E-2</v>
      </c>
    </row>
    <row r="150" spans="1:12" x14ac:dyDescent="0.25">
      <c r="A150" s="1" t="s">
        <v>98</v>
      </c>
      <c r="B150" s="160" t="s">
        <v>99</v>
      </c>
      <c r="C150" s="161">
        <v>30727</v>
      </c>
      <c r="D150" s="161">
        <v>10044</v>
      </c>
      <c r="E150" s="161">
        <v>16224</v>
      </c>
      <c r="F150" s="161">
        <v>30483</v>
      </c>
      <c r="G150" s="161">
        <v>33096</v>
      </c>
      <c r="H150" s="161">
        <v>29822</v>
      </c>
      <c r="I150" s="161">
        <v>27565</v>
      </c>
      <c r="J150" s="179">
        <f>IFERROR(I150/H150-1,"-")</f>
        <v>-7.568238213399503E-2</v>
      </c>
      <c r="K150" s="160">
        <f t="shared" ref="K150:K160" si="55">I150-H150</f>
        <v>-2257</v>
      </c>
      <c r="L150" s="162">
        <f t="shared" si="54"/>
        <v>8.7868448198258498E-3</v>
      </c>
    </row>
    <row r="151" spans="1:12" x14ac:dyDescent="0.25">
      <c r="A151" s="163" t="s">
        <v>105</v>
      </c>
      <c r="B151" s="164" t="s">
        <v>105</v>
      </c>
      <c r="C151" s="165">
        <v>17346</v>
      </c>
      <c r="D151" s="165">
        <v>4891</v>
      </c>
      <c r="E151" s="165">
        <v>14211</v>
      </c>
      <c r="F151" s="165">
        <v>20632</v>
      </c>
      <c r="G151" s="165">
        <v>22380</v>
      </c>
      <c r="H151" s="165">
        <v>19716</v>
      </c>
      <c r="I151" s="165">
        <v>17299</v>
      </c>
      <c r="J151" s="180">
        <f>IFERROR(I151/H151-1,"-")</f>
        <v>-0.12259078920673561</v>
      </c>
      <c r="K151" s="164">
        <f t="shared" si="55"/>
        <v>-2417</v>
      </c>
      <c r="L151" s="166">
        <f t="shared" si="54"/>
        <v>5.5143707069895661E-3</v>
      </c>
    </row>
    <row r="152" spans="1:12" x14ac:dyDescent="0.25">
      <c r="A152" s="163" t="s">
        <v>102</v>
      </c>
      <c r="B152" s="164" t="s">
        <v>102</v>
      </c>
      <c r="C152" s="165">
        <v>13381</v>
      </c>
      <c r="D152" s="165">
        <v>5153</v>
      </c>
      <c r="E152" s="165">
        <v>2013</v>
      </c>
      <c r="F152" s="165">
        <v>9851</v>
      </c>
      <c r="G152" s="165">
        <v>10716</v>
      </c>
      <c r="H152" s="165">
        <v>10106</v>
      </c>
      <c r="I152" s="165">
        <v>10266</v>
      </c>
      <c r="J152" s="180">
        <f>IFERROR(I152/H152-1,"-")</f>
        <v>1.5832178903621541E-2</v>
      </c>
      <c r="K152" s="164">
        <f t="shared" si="55"/>
        <v>160</v>
      </c>
      <c r="L152" s="166">
        <f t="shared" si="54"/>
        <v>3.2724741128362846E-3</v>
      </c>
    </row>
    <row r="153" spans="1:12" x14ac:dyDescent="0.25">
      <c r="A153" s="1"/>
      <c r="B153" s="160" t="s">
        <v>109</v>
      </c>
      <c r="C153" s="161">
        <v>43447</v>
      </c>
      <c r="D153" s="161">
        <v>19517</v>
      </c>
      <c r="E153" s="161">
        <v>7616</v>
      </c>
      <c r="F153" s="161">
        <v>29905</v>
      </c>
      <c r="G153" s="161">
        <v>37402</v>
      </c>
      <c r="H153" s="161">
        <v>41913</v>
      </c>
      <c r="I153" s="161">
        <v>41681</v>
      </c>
      <c r="J153" s="179">
        <f>IFERROR(I153/H153-1,"-")</f>
        <v>-5.5352754515305413E-3</v>
      </c>
      <c r="K153" s="160">
        <f t="shared" si="55"/>
        <v>-232</v>
      </c>
      <c r="L153" s="162">
        <f t="shared" si="54"/>
        <v>1.328657641702018E-2</v>
      </c>
    </row>
    <row r="154" spans="1:12" s="57" customFormat="1" x14ac:dyDescent="0.25">
      <c r="B154" s="164" t="s">
        <v>112</v>
      </c>
      <c r="C154" s="165">
        <v>13519</v>
      </c>
      <c r="D154" s="165">
        <v>5840</v>
      </c>
      <c r="E154" s="165">
        <v>280</v>
      </c>
      <c r="F154" s="165">
        <v>10407</v>
      </c>
      <c r="G154" s="165">
        <v>12668</v>
      </c>
      <c r="H154" s="165">
        <v>13031</v>
      </c>
      <c r="I154" s="165">
        <v>10476</v>
      </c>
      <c r="J154" s="180">
        <f t="shared" ref="J154:J161" si="56">IFERROR(I154/H154-1,"-")</f>
        <v>-0.19607090783516234</v>
      </c>
      <c r="K154" s="164">
        <f t="shared" si="55"/>
        <v>-2555</v>
      </c>
      <c r="L154" s="166">
        <f t="shared" si="54"/>
        <v>3.3394154301649051E-3</v>
      </c>
    </row>
    <row r="155" spans="1:12" s="57" customFormat="1" x14ac:dyDescent="0.25">
      <c r="B155" s="164" t="s">
        <v>115</v>
      </c>
      <c r="C155" s="165">
        <v>12622</v>
      </c>
      <c r="D155" s="165">
        <v>5801</v>
      </c>
      <c r="E155" s="165">
        <v>1600</v>
      </c>
      <c r="F155" s="165">
        <v>7508</v>
      </c>
      <c r="G155" s="165">
        <v>7877</v>
      </c>
      <c r="H155" s="165">
        <v>8586</v>
      </c>
      <c r="I155" s="165">
        <v>8165</v>
      </c>
      <c r="J155" s="180">
        <f t="shared" si="56"/>
        <v>-4.903331003959932E-2</v>
      </c>
      <c r="K155" s="164">
        <f t="shared" si="55"/>
        <v>-421</v>
      </c>
      <c r="L155" s="166">
        <f t="shared" si="54"/>
        <v>2.6027421713723225E-3</v>
      </c>
    </row>
    <row r="156" spans="1:12" x14ac:dyDescent="0.25">
      <c r="A156" s="1"/>
      <c r="B156" s="164" t="s">
        <v>118</v>
      </c>
      <c r="C156" s="165">
        <v>5327</v>
      </c>
      <c r="D156" s="165">
        <v>2092</v>
      </c>
      <c r="E156" s="165">
        <v>2207</v>
      </c>
      <c r="F156" s="165">
        <v>3204</v>
      </c>
      <c r="G156" s="165">
        <v>5327</v>
      </c>
      <c r="H156" s="165">
        <v>6226</v>
      </c>
      <c r="I156" s="165">
        <v>9647</v>
      </c>
      <c r="J156" s="180">
        <f t="shared" si="56"/>
        <v>0.54946996466431086</v>
      </c>
      <c r="K156" s="164">
        <f t="shared" si="55"/>
        <v>3421</v>
      </c>
      <c r="L156" s="166">
        <f t="shared" si="54"/>
        <v>3.0751566108057314E-3</v>
      </c>
    </row>
    <row r="157" spans="1:12" x14ac:dyDescent="0.25">
      <c r="A157" s="1"/>
      <c r="B157" s="164" t="s">
        <v>125</v>
      </c>
      <c r="C157" s="165">
        <v>903</v>
      </c>
      <c r="D157" s="165">
        <v>599</v>
      </c>
      <c r="E157" s="165">
        <v>252</v>
      </c>
      <c r="F157" s="165">
        <v>857</v>
      </c>
      <c r="G157" s="165">
        <v>1132</v>
      </c>
      <c r="H157" s="165">
        <v>1650</v>
      </c>
      <c r="I157" s="165">
        <v>1518</v>
      </c>
      <c r="J157" s="180">
        <f t="shared" si="56"/>
        <v>-7.999999999999996E-2</v>
      </c>
      <c r="K157" s="164">
        <f t="shared" si="55"/>
        <v>-132</v>
      </c>
      <c r="L157" s="166">
        <f t="shared" si="54"/>
        <v>4.8389009383260082E-4</v>
      </c>
    </row>
    <row r="158" spans="1:12" x14ac:dyDescent="0.25">
      <c r="A158" s="1"/>
      <c r="B158" s="164" t="s">
        <v>121</v>
      </c>
      <c r="C158" s="165">
        <v>1522</v>
      </c>
      <c r="D158" s="165">
        <v>736</v>
      </c>
      <c r="E158" s="165">
        <v>305</v>
      </c>
      <c r="F158" s="165">
        <v>1428</v>
      </c>
      <c r="G158" s="165">
        <v>1788</v>
      </c>
      <c r="H158" s="165">
        <v>1641</v>
      </c>
      <c r="I158" s="165">
        <v>1453</v>
      </c>
      <c r="J158" s="180">
        <f t="shared" si="56"/>
        <v>-0.11456429006703228</v>
      </c>
      <c r="K158" s="164">
        <f t="shared" si="55"/>
        <v>-188</v>
      </c>
      <c r="L158" s="166">
        <f t="shared" si="54"/>
        <v>4.6317016227850395E-4</v>
      </c>
    </row>
    <row r="159" spans="1:12" x14ac:dyDescent="0.25">
      <c r="A159" s="1"/>
      <c r="B159" s="164" t="s">
        <v>130</v>
      </c>
      <c r="C159" s="165">
        <v>361</v>
      </c>
      <c r="D159" s="165">
        <v>432</v>
      </c>
      <c r="E159" s="165">
        <v>24</v>
      </c>
      <c r="F159" s="165">
        <v>293</v>
      </c>
      <c r="G159" s="165">
        <v>491</v>
      </c>
      <c r="H159" s="165">
        <v>352</v>
      </c>
      <c r="I159" s="165">
        <v>322</v>
      </c>
      <c r="J159" s="180">
        <f t="shared" si="56"/>
        <v>-8.5227272727272707E-2</v>
      </c>
      <c r="K159" s="164">
        <f t="shared" si="55"/>
        <v>-30</v>
      </c>
      <c r="L159" s="166">
        <f t="shared" si="54"/>
        <v>1.0264335323721835E-4</v>
      </c>
    </row>
    <row r="160" spans="1:12" x14ac:dyDescent="0.25">
      <c r="A160" s="163" t="s">
        <v>146</v>
      </c>
      <c r="B160" s="164" t="s">
        <v>133</v>
      </c>
      <c r="C160" s="165">
        <v>805</v>
      </c>
      <c r="D160" s="165">
        <v>575</v>
      </c>
      <c r="E160" s="165">
        <v>63</v>
      </c>
      <c r="F160" s="165">
        <v>501</v>
      </c>
      <c r="G160" s="165">
        <v>671</v>
      </c>
      <c r="H160" s="165">
        <v>592</v>
      </c>
      <c r="I160" s="165">
        <v>477</v>
      </c>
      <c r="J160" s="180">
        <f t="shared" si="56"/>
        <v>-0.1942567567567568</v>
      </c>
      <c r="K160" s="164">
        <f t="shared" si="55"/>
        <v>-115</v>
      </c>
      <c r="L160" s="166">
        <f t="shared" si="54"/>
        <v>1.5205242078929551E-4</v>
      </c>
    </row>
    <row r="161" spans="1:12" x14ac:dyDescent="0.25">
      <c r="A161" s="168" t="s">
        <v>147</v>
      </c>
      <c r="B161" s="169" t="s">
        <v>147</v>
      </c>
      <c r="C161" s="170">
        <f t="shared" ref="C161" si="57">C153-SUM(C154:C160)</f>
        <v>8388</v>
      </c>
      <c r="D161" s="170">
        <f t="shared" ref="D161:I161" si="58">D153-SUM(D154:D160)</f>
        <v>3442</v>
      </c>
      <c r="E161" s="170">
        <f t="shared" si="58"/>
        <v>2885</v>
      </c>
      <c r="F161" s="170">
        <f t="shared" si="58"/>
        <v>5707</v>
      </c>
      <c r="G161" s="170">
        <f t="shared" si="58"/>
        <v>7448</v>
      </c>
      <c r="H161" s="170">
        <f t="shared" si="58"/>
        <v>9835</v>
      </c>
      <c r="I161" s="170">
        <f t="shared" si="58"/>
        <v>9623</v>
      </c>
      <c r="J161" s="181">
        <f t="shared" si="56"/>
        <v>-2.1555668530757521E-2</v>
      </c>
      <c r="K161" s="169">
        <f>I161-H161</f>
        <v>-212</v>
      </c>
      <c r="L161" s="171">
        <f t="shared" si="54"/>
        <v>3.067506174539603E-3</v>
      </c>
    </row>
    <row r="162" spans="1:12" ht="6" customHeight="1" x14ac:dyDescent="0.25">
      <c r="C162" s="81"/>
      <c r="D162" s="81"/>
      <c r="E162" s="81"/>
      <c r="F162" s="81"/>
      <c r="G162" s="81"/>
      <c r="H162" s="81"/>
      <c r="I162" s="81"/>
      <c r="J162" s="81"/>
    </row>
    <row r="163" spans="1:12" x14ac:dyDescent="0.25">
      <c r="B163" s="107" t="s">
        <v>57</v>
      </c>
      <c r="C163" s="107"/>
      <c r="D163" s="107"/>
      <c r="E163" s="107"/>
      <c r="F163" s="107"/>
      <c r="G163" s="107"/>
      <c r="H163" s="107"/>
      <c r="I163" s="107"/>
      <c r="J163" s="107"/>
      <c r="K163" s="107"/>
      <c r="L163" s="107"/>
    </row>
  </sheetData>
  <mergeCells count="3">
    <mergeCell ref="B4:L4"/>
    <mergeCell ref="O4:X4"/>
    <mergeCell ref="C6:L6"/>
  </mergeCells>
  <pageMargins left="0.25" right="0.25" top="0.75" bottom="0.75" header="0.3" footer="0.3"/>
  <pageSetup paperSize="9" scale="20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F7BB0D-C063-467F-A15C-E4FC8B7ADA28}">
  <sheetPr>
    <tabColor rgb="FFBB5C0D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5EE63-595C-48CD-A50D-7A9A900352A3}">
  <sheetPr>
    <tabColor rgb="FFF29140"/>
  </sheetPr>
  <dimension ref="A4:O27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78" t="s">
        <v>269</v>
      </c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3" t="s">
        <v>70</v>
      </c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</row>
    <row r="7" spans="1:15" ht="22.5" thickTop="1" thickBot="1" x14ac:dyDescent="0.3">
      <c r="B7" s="111"/>
      <c r="C7" s="305">
        <f t="shared" ref="C7" si="0">E7-1</f>
        <v>2020</v>
      </c>
      <c r="D7" s="306"/>
      <c r="E7" s="307">
        <f t="shared" ref="E7" si="1">G7-1</f>
        <v>2021</v>
      </c>
      <c r="F7" s="306"/>
      <c r="G7" s="307">
        <f t="shared" ref="G7" si="2">I7-1</f>
        <v>2022</v>
      </c>
      <c r="H7" s="306"/>
      <c r="I7" s="307">
        <f t="shared" ref="I7" si="3">K7-1</f>
        <v>2023</v>
      </c>
      <c r="J7" s="306"/>
      <c r="K7" s="307">
        <f>M7-1</f>
        <v>2024</v>
      </c>
      <c r="L7" s="306"/>
      <c r="M7" s="307">
        <v>2025</v>
      </c>
      <c r="N7" s="308"/>
    </row>
    <row r="8" spans="1:15" ht="16.5" thickTop="1" thickBot="1" x14ac:dyDescent="0.3">
      <c r="B8" s="87"/>
      <c r="C8" s="115" t="s">
        <v>71</v>
      </c>
      <c r="D8" s="116" t="str">
        <f>CONCATENATE("var ",RIGHT(C7,2),"/",RIGHT(C7-1,2))</f>
        <v>var 20/19</v>
      </c>
      <c r="E8" s="117" t="s">
        <v>71</v>
      </c>
      <c r="F8" s="116" t="str">
        <f>CONCATENATE("var ",RIGHT(E7,2),"/",RIGHT(C7,2))</f>
        <v>var 21/20</v>
      </c>
      <c r="G8" s="117" t="s">
        <v>71</v>
      </c>
      <c r="H8" s="116" t="str">
        <f>CONCATENATE("var ",RIGHT(G7,2),"/",RIGHT(E7,2))</f>
        <v>var 22/21</v>
      </c>
      <c r="I8" s="117" t="s">
        <v>71</v>
      </c>
      <c r="J8" s="116" t="str">
        <f>CONCATENATE("var ",RIGHT(I7,2),"/",RIGHT(G7,2))</f>
        <v>var 23/22</v>
      </c>
      <c r="K8" s="117" t="s">
        <v>71</v>
      </c>
      <c r="L8" s="116" t="str">
        <f>CONCATENATE("var ",RIGHT(K7,2),"/",RIGHT(I7,2))</f>
        <v>var 24/23</v>
      </c>
      <c r="M8" s="117" t="s">
        <v>71</v>
      </c>
      <c r="N8" s="116" t="str">
        <f>CONCATENATE("var ",RIGHT(M7,2),"/",RIGHT(K7,2))</f>
        <v>var 25/24</v>
      </c>
    </row>
    <row r="9" spans="1:15" x14ac:dyDescent="0.25">
      <c r="A9" s="1" t="s">
        <v>72</v>
      </c>
      <c r="B9" s="118" t="s">
        <v>73</v>
      </c>
      <c r="C9" s="119">
        <v>46163</v>
      </c>
      <c r="D9" s="120">
        <v>-7.8546049742504676E-2</v>
      </c>
      <c r="E9" s="119">
        <v>9068</v>
      </c>
      <c r="F9" s="120">
        <f t="shared" ref="F9:L21" si="4">IFERROR(E9/C9-1,"-")</f>
        <v>-0.80356562615081339</v>
      </c>
      <c r="G9" s="119">
        <v>40065</v>
      </c>
      <c r="H9" s="120">
        <f t="shared" si="4"/>
        <v>3.4182840758711954</v>
      </c>
      <c r="I9" s="119">
        <v>59578</v>
      </c>
      <c r="J9" s="120">
        <f t="shared" si="4"/>
        <v>0.48703357044802198</v>
      </c>
      <c r="K9" s="119">
        <v>62651</v>
      </c>
      <c r="L9" s="120">
        <f t="shared" si="4"/>
        <v>5.1579442075934123E-2</v>
      </c>
      <c r="M9" s="119">
        <v>57077</v>
      </c>
      <c r="N9" s="120">
        <f>IFERROR(M9/K9-1,"-")</f>
        <v>-8.8969050773331615E-2</v>
      </c>
    </row>
    <row r="10" spans="1:15" x14ac:dyDescent="0.25">
      <c r="A10" s="1" t="s">
        <v>74</v>
      </c>
      <c r="B10" s="118" t="s">
        <v>75</v>
      </c>
      <c r="C10" s="119">
        <v>51846</v>
      </c>
      <c r="D10" s="120">
        <v>9.6411275826337128E-2</v>
      </c>
      <c r="E10" s="119">
        <v>15142</v>
      </c>
      <c r="F10" s="120">
        <f t="shared" si="4"/>
        <v>-0.70794275353932801</v>
      </c>
      <c r="G10" s="119">
        <v>41909</v>
      </c>
      <c r="H10" s="120">
        <f t="shared" si="4"/>
        <v>1.7677321357812708</v>
      </c>
      <c r="I10" s="119">
        <v>52194</v>
      </c>
      <c r="J10" s="120">
        <f t="shared" si="4"/>
        <v>0.24541267985396931</v>
      </c>
      <c r="K10" s="119">
        <v>55957</v>
      </c>
      <c r="L10" s="120">
        <f t="shared" si="4"/>
        <v>7.2096409548990215E-2</v>
      </c>
      <c r="M10" s="119">
        <v>52638</v>
      </c>
      <c r="N10" s="120">
        <f t="shared" ref="N10:N14" si="5">IFERROR(M10/K10-1,"-")</f>
        <v>-5.9313401361759888E-2</v>
      </c>
    </row>
    <row r="11" spans="1:15" x14ac:dyDescent="0.25">
      <c r="A11" s="1" t="s">
        <v>76</v>
      </c>
      <c r="B11" s="118" t="s">
        <v>77</v>
      </c>
      <c r="C11" s="119">
        <v>20252</v>
      </c>
      <c r="D11" s="120">
        <v>-0.59010686528497414</v>
      </c>
      <c r="E11" s="119">
        <v>22329</v>
      </c>
      <c r="F11" s="120">
        <f t="shared" si="4"/>
        <v>0.1025577720718942</v>
      </c>
      <c r="G11" s="119">
        <v>47103</v>
      </c>
      <c r="H11" s="120">
        <f t="shared" si="4"/>
        <v>1.1094988579873708</v>
      </c>
      <c r="I11" s="119">
        <v>58354</v>
      </c>
      <c r="J11" s="120">
        <f t="shared" si="4"/>
        <v>0.23885952062501326</v>
      </c>
      <c r="K11" s="119">
        <v>58643</v>
      </c>
      <c r="L11" s="120">
        <f t="shared" si="4"/>
        <v>4.9525311032663222E-3</v>
      </c>
      <c r="M11" s="119">
        <v>56752</v>
      </c>
      <c r="N11" s="120">
        <f t="shared" si="5"/>
        <v>-3.2245962860017352E-2</v>
      </c>
    </row>
    <row r="12" spans="1:15" x14ac:dyDescent="0.25">
      <c r="A12" s="1" t="s">
        <v>78</v>
      </c>
      <c r="B12" s="118" t="s">
        <v>79</v>
      </c>
      <c r="C12" s="119">
        <v>0</v>
      </c>
      <c r="D12" s="120">
        <v>-1</v>
      </c>
      <c r="E12" s="119">
        <v>19557</v>
      </c>
      <c r="F12" s="120" t="str">
        <f t="shared" si="4"/>
        <v>-</v>
      </c>
      <c r="G12" s="119">
        <v>43531</v>
      </c>
      <c r="H12" s="120">
        <f t="shared" si="4"/>
        <v>1.2258526358848494</v>
      </c>
      <c r="I12" s="119">
        <v>42717</v>
      </c>
      <c r="J12" s="120">
        <f t="shared" si="4"/>
        <v>-1.8699317727596476E-2</v>
      </c>
      <c r="K12" s="119">
        <v>46133</v>
      </c>
      <c r="L12" s="120">
        <f t="shared" si="4"/>
        <v>7.9968162558232025E-2</v>
      </c>
      <c r="M12" s="119">
        <v>47123</v>
      </c>
      <c r="N12" s="120">
        <f t="shared" si="5"/>
        <v>2.1459692627836979E-2</v>
      </c>
    </row>
    <row r="13" spans="1:15" x14ac:dyDescent="0.25">
      <c r="A13" s="1" t="s">
        <v>80</v>
      </c>
      <c r="B13" s="118" t="s">
        <v>81</v>
      </c>
      <c r="C13" s="119">
        <v>0</v>
      </c>
      <c r="D13" s="120">
        <v>-1</v>
      </c>
      <c r="E13" s="119">
        <v>24025</v>
      </c>
      <c r="F13" s="120" t="str">
        <f t="shared" si="4"/>
        <v>-</v>
      </c>
      <c r="G13" s="119">
        <v>44866</v>
      </c>
      <c r="H13" s="120">
        <f t="shared" si="4"/>
        <v>0.8674713839750261</v>
      </c>
      <c r="I13" s="119">
        <v>42611</v>
      </c>
      <c r="J13" s="120">
        <f t="shared" si="4"/>
        <v>-5.0260776534569618E-2</v>
      </c>
      <c r="K13" s="119">
        <v>38316</v>
      </c>
      <c r="L13" s="120">
        <f t="shared" si="4"/>
        <v>-0.10079556921921573</v>
      </c>
      <c r="M13" s="119">
        <v>45582</v>
      </c>
      <c r="N13" s="120">
        <f t="shared" si="5"/>
        <v>0.18963357344190412</v>
      </c>
    </row>
    <row r="14" spans="1:15" x14ac:dyDescent="0.25">
      <c r="A14" s="1" t="s">
        <v>82</v>
      </c>
      <c r="B14" s="118" t="s">
        <v>83</v>
      </c>
      <c r="C14" s="119">
        <v>0</v>
      </c>
      <c r="D14" s="120">
        <v>-1</v>
      </c>
      <c r="E14" s="119">
        <v>26795</v>
      </c>
      <c r="F14" s="120" t="str">
        <f t="shared" si="4"/>
        <v>-</v>
      </c>
      <c r="G14" s="119">
        <v>40470</v>
      </c>
      <c r="H14" s="120">
        <f t="shared" si="4"/>
        <v>0.51035640977794361</v>
      </c>
      <c r="I14" s="119">
        <v>38639</v>
      </c>
      <c r="J14" s="120">
        <f t="shared" si="4"/>
        <v>-4.5243390165554787E-2</v>
      </c>
      <c r="K14" s="119">
        <v>40074</v>
      </c>
      <c r="L14" s="120">
        <f t="shared" si="4"/>
        <v>3.7138642304407554E-2</v>
      </c>
      <c r="M14" s="119">
        <v>42497</v>
      </c>
      <c r="N14" s="120">
        <f t="shared" si="5"/>
        <v>6.0463143185107482E-2</v>
      </c>
    </row>
    <row r="15" spans="1:15" x14ac:dyDescent="0.25">
      <c r="A15" s="1" t="s">
        <v>84</v>
      </c>
      <c r="B15" s="118" t="s">
        <v>85</v>
      </c>
      <c r="C15" s="119">
        <v>0</v>
      </c>
      <c r="D15" s="120">
        <v>-1</v>
      </c>
      <c r="E15" s="119">
        <v>31224</v>
      </c>
      <c r="F15" s="120" t="str">
        <f t="shared" si="4"/>
        <v>-</v>
      </c>
      <c r="G15" s="119">
        <v>43286</v>
      </c>
      <c r="H15" s="120">
        <f t="shared" si="4"/>
        <v>0.38630540609787345</v>
      </c>
      <c r="I15" s="119">
        <v>40407</v>
      </c>
      <c r="J15" s="120">
        <f t="shared" si="4"/>
        <v>-6.651111213787364E-2</v>
      </c>
      <c r="K15" s="119">
        <v>45242</v>
      </c>
      <c r="L15" s="120">
        <f t="shared" si="4"/>
        <v>0.11965748508921714</v>
      </c>
      <c r="M15" s="119"/>
      <c r="N15" s="120"/>
    </row>
    <row r="16" spans="1:15" x14ac:dyDescent="0.25">
      <c r="A16" s="1" t="s">
        <v>86</v>
      </c>
      <c r="B16" s="118" t="s">
        <v>87</v>
      </c>
      <c r="C16" s="119">
        <v>15225</v>
      </c>
      <c r="D16" s="120">
        <v>-0.60673141499199257</v>
      </c>
      <c r="E16" s="119">
        <v>36151</v>
      </c>
      <c r="F16" s="120">
        <f t="shared" si="4"/>
        <v>1.3744499178981937</v>
      </c>
      <c r="G16" s="119">
        <v>41695</v>
      </c>
      <c r="H16" s="120">
        <f t="shared" si="4"/>
        <v>0.15335675361677414</v>
      </c>
      <c r="I16" s="119">
        <v>43373</v>
      </c>
      <c r="J16" s="120">
        <f t="shared" si="4"/>
        <v>4.0244633649118677E-2</v>
      </c>
      <c r="K16" s="119">
        <v>42595</v>
      </c>
      <c r="L16" s="120">
        <f t="shared" si="4"/>
        <v>-1.7937426509579746E-2</v>
      </c>
      <c r="M16" s="119"/>
      <c r="N16" s="120"/>
    </row>
    <row r="17" spans="1:15" x14ac:dyDescent="0.25">
      <c r="A17" s="1" t="s">
        <v>88</v>
      </c>
      <c r="B17" s="118" t="s">
        <v>89</v>
      </c>
      <c r="C17" s="119">
        <v>14501</v>
      </c>
      <c r="D17" s="120">
        <v>-0.602396424556497</v>
      </c>
      <c r="E17" s="119">
        <v>36202</v>
      </c>
      <c r="F17" s="120">
        <f t="shared" si="4"/>
        <v>1.4965174815529965</v>
      </c>
      <c r="G17" s="119">
        <v>42224</v>
      </c>
      <c r="H17" s="120">
        <f t="shared" si="4"/>
        <v>0.16634440086183089</v>
      </c>
      <c r="I17" s="119">
        <v>40151</v>
      </c>
      <c r="J17" s="120">
        <f t="shared" si="4"/>
        <v>-4.9095301250473677E-2</v>
      </c>
      <c r="K17" s="119">
        <v>43154</v>
      </c>
      <c r="L17" s="120">
        <f t="shared" si="4"/>
        <v>7.479265771711785E-2</v>
      </c>
      <c r="M17" s="119"/>
      <c r="N17" s="120"/>
    </row>
    <row r="18" spans="1:15" x14ac:dyDescent="0.25">
      <c r="A18" s="1" t="s">
        <v>90</v>
      </c>
      <c r="B18" s="118" t="s">
        <v>91</v>
      </c>
      <c r="C18" s="119">
        <v>17308</v>
      </c>
      <c r="D18" s="120">
        <v>-0.56855120151560468</v>
      </c>
      <c r="E18" s="119">
        <v>42785</v>
      </c>
      <c r="F18" s="120">
        <f t="shared" si="4"/>
        <v>1.471978275941761</v>
      </c>
      <c r="G18" s="119">
        <v>48246</v>
      </c>
      <c r="H18" s="120">
        <f t="shared" si="4"/>
        <v>0.12763819095477391</v>
      </c>
      <c r="I18" s="119">
        <v>49321</v>
      </c>
      <c r="J18" s="120">
        <f t="shared" si="4"/>
        <v>2.2281639928698693E-2</v>
      </c>
      <c r="K18" s="119">
        <v>43124</v>
      </c>
      <c r="L18" s="120">
        <f t="shared" si="4"/>
        <v>-0.1256462764339733</v>
      </c>
      <c r="M18" s="119"/>
      <c r="N18" s="120"/>
    </row>
    <row r="19" spans="1:15" x14ac:dyDescent="0.25">
      <c r="A19" s="1" t="s">
        <v>92</v>
      </c>
      <c r="B19" s="118" t="s">
        <v>93</v>
      </c>
      <c r="C19" s="119">
        <v>14807</v>
      </c>
      <c r="D19" s="120">
        <v>-0.68922889644461227</v>
      </c>
      <c r="E19" s="119">
        <v>49146</v>
      </c>
      <c r="F19" s="120">
        <f t="shared" si="4"/>
        <v>2.319105828324441</v>
      </c>
      <c r="G19" s="119">
        <v>56046</v>
      </c>
      <c r="H19" s="120">
        <f t="shared" si="4"/>
        <v>0.14039799780246609</v>
      </c>
      <c r="I19" s="119">
        <v>55991</v>
      </c>
      <c r="J19" s="120">
        <f t="shared" si="4"/>
        <v>-9.8133675909073403E-4</v>
      </c>
      <c r="K19" s="119">
        <v>53169</v>
      </c>
      <c r="L19" s="120">
        <f t="shared" si="4"/>
        <v>-5.0400957296708349E-2</v>
      </c>
      <c r="M19" s="119"/>
      <c r="N19" s="120"/>
    </row>
    <row r="20" spans="1:15" x14ac:dyDescent="0.25">
      <c r="A20" s="1" t="s">
        <v>94</v>
      </c>
      <c r="B20" s="118" t="s">
        <v>95</v>
      </c>
      <c r="C20" s="119">
        <v>13546</v>
      </c>
      <c r="D20" s="120">
        <v>-0.72325168038899212</v>
      </c>
      <c r="E20" s="119">
        <v>46745</v>
      </c>
      <c r="F20" s="120">
        <f t="shared" si="4"/>
        <v>2.4508341945961907</v>
      </c>
      <c r="G20" s="119">
        <v>54058</v>
      </c>
      <c r="H20" s="120">
        <f t="shared" si="4"/>
        <v>0.15644453952294368</v>
      </c>
      <c r="I20" s="119">
        <v>53126</v>
      </c>
      <c r="J20" s="120">
        <f t="shared" si="4"/>
        <v>-1.7240741425875949E-2</v>
      </c>
      <c r="K20" s="119">
        <v>55215</v>
      </c>
      <c r="L20" s="120">
        <f t="shared" si="4"/>
        <v>3.9321612769642078E-2</v>
      </c>
      <c r="M20" s="119"/>
      <c r="N20" s="120"/>
    </row>
    <row r="21" spans="1:15" ht="15.75" x14ac:dyDescent="0.25">
      <c r="A21" s="1" t="s">
        <v>0</v>
      </c>
      <c r="B21" s="121" t="s">
        <v>32</v>
      </c>
      <c r="C21" s="122">
        <v>216673</v>
      </c>
      <c r="D21" s="123">
        <v>-0.56961248378645191</v>
      </c>
      <c r="E21" s="122">
        <v>359169</v>
      </c>
      <c r="F21" s="123">
        <f t="shared" si="4"/>
        <v>0.65765462240334505</v>
      </c>
      <c r="G21" s="122">
        <v>543499</v>
      </c>
      <c r="H21" s="123">
        <f t="shared" si="4"/>
        <v>0.51321244316742254</v>
      </c>
      <c r="I21" s="122">
        <v>576462</v>
      </c>
      <c r="J21" s="123">
        <f t="shared" si="4"/>
        <v>6.0649605611049928E-2</v>
      </c>
      <c r="K21" s="122">
        <v>584273</v>
      </c>
      <c r="L21" s="123">
        <f t="shared" si="4"/>
        <v>1.3549895743344642E-2</v>
      </c>
      <c r="M21" s="122">
        <v>301669</v>
      </c>
      <c r="N21" s="123">
        <v>-3.4794250001657367E-4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C24" s="124"/>
      <c r="K24" s="124"/>
      <c r="N24" s="81"/>
    </row>
    <row r="26" spans="1:15" ht="48.75" customHeight="1" thickBot="1" x14ac:dyDescent="0.3">
      <c r="B26" s="278" t="s">
        <v>270</v>
      </c>
      <c r="C26" s="278"/>
      <c r="D26" s="278"/>
      <c r="E26" s="278"/>
      <c r="F26" s="278"/>
      <c r="G26" s="278"/>
      <c r="H26" s="278"/>
      <c r="I26" s="278"/>
      <c r="J26" s="278"/>
      <c r="K26" s="278"/>
      <c r="L26" s="278"/>
      <c r="M26" s="278"/>
      <c r="N26" s="278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5" t="s">
        <v>98</v>
      </c>
      <c r="C28" s="303" t="s">
        <v>99</v>
      </c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</row>
    <row r="29" spans="1:15" ht="22.5" thickTop="1" thickBot="1" x14ac:dyDescent="0.3">
      <c r="B29" s="111"/>
      <c r="C29" s="305">
        <f>$C$7</f>
        <v>2020</v>
      </c>
      <c r="D29" s="306"/>
      <c r="E29" s="307">
        <f>$E$7</f>
        <v>2021</v>
      </c>
      <c r="F29" s="306"/>
      <c r="G29" s="307">
        <f>$G$7</f>
        <v>2022</v>
      </c>
      <c r="H29" s="306"/>
      <c r="I29" s="307">
        <f>$I$7</f>
        <v>2023</v>
      </c>
      <c r="J29" s="306"/>
      <c r="K29" s="307">
        <f>$K$7</f>
        <v>2024</v>
      </c>
      <c r="L29" s="306"/>
      <c r="M29" s="307">
        <f>$M$7</f>
        <v>2025</v>
      </c>
      <c r="N29" s="308"/>
    </row>
    <row r="30" spans="1:15" ht="16.5" thickTop="1" thickBot="1" x14ac:dyDescent="0.3">
      <c r="B30" s="87"/>
      <c r="C30" s="115" t="s">
        <v>71</v>
      </c>
      <c r="D30" s="116" t="str">
        <f>CONCATENATE("var. ",RIGHT(C29,2),"/",RIGHT(C29-1,2))</f>
        <v>var. 20/19</v>
      </c>
      <c r="E30" s="117" t="s">
        <v>71</v>
      </c>
      <c r="F30" s="116" t="s">
        <v>248</v>
      </c>
      <c r="G30" s="117" t="s">
        <v>71</v>
      </c>
      <c r="H30" s="116" t="s">
        <v>248</v>
      </c>
      <c r="I30" s="117" t="s">
        <v>71</v>
      </c>
      <c r="J30" s="116" t="s">
        <v>248</v>
      </c>
      <c r="K30" s="117" t="s">
        <v>71</v>
      </c>
      <c r="L30" s="116" t="s">
        <v>248</v>
      </c>
      <c r="M30" s="117" t="s">
        <v>71</v>
      </c>
      <c r="N30" s="116" t="s">
        <v>271</v>
      </c>
    </row>
    <row r="31" spans="1:15" x14ac:dyDescent="0.25">
      <c r="B31" s="118" t="s">
        <v>73</v>
      </c>
      <c r="C31" s="119">
        <v>18094</v>
      </c>
      <c r="D31" s="120">
        <v>-2.9083494312084124E-2</v>
      </c>
      <c r="E31" s="119">
        <v>4627</v>
      </c>
      <c r="F31" s="120">
        <f t="shared" ref="F31:L43" si="6">IFERROR(E31/C31-1,"-")</f>
        <v>-0.74427987178070076</v>
      </c>
      <c r="G31" s="119">
        <v>15015</v>
      </c>
      <c r="H31" s="120">
        <f t="shared" si="6"/>
        <v>2.2450832072617248</v>
      </c>
      <c r="I31" s="119">
        <v>21636</v>
      </c>
      <c r="J31" s="120">
        <f t="shared" si="6"/>
        <v>0.44095904095904093</v>
      </c>
      <c r="K31" s="119">
        <v>25181</v>
      </c>
      <c r="L31" s="120">
        <f t="shared" si="6"/>
        <v>0.16384729155111843</v>
      </c>
      <c r="M31" s="119">
        <v>23120</v>
      </c>
      <c r="N31" s="120">
        <f t="shared" ref="N31:N36" si="7">IFERROR(M31/K31-1,"-")</f>
        <v>-8.1847424645566047E-2</v>
      </c>
    </row>
    <row r="32" spans="1:15" x14ac:dyDescent="0.25">
      <c r="B32" s="118" t="s">
        <v>75</v>
      </c>
      <c r="C32" s="119">
        <v>23371</v>
      </c>
      <c r="D32" s="120">
        <v>0.24825081450622233</v>
      </c>
      <c r="E32" s="119">
        <v>9380</v>
      </c>
      <c r="F32" s="120">
        <f t="shared" si="6"/>
        <v>-0.59864789696632581</v>
      </c>
      <c r="G32" s="119">
        <v>18026</v>
      </c>
      <c r="H32" s="120">
        <f t="shared" si="6"/>
        <v>0.92174840085287846</v>
      </c>
      <c r="I32" s="119">
        <v>23651</v>
      </c>
      <c r="J32" s="120">
        <f t="shared" si="6"/>
        <v>0.31204926217685558</v>
      </c>
      <c r="K32" s="119">
        <v>24442</v>
      </c>
      <c r="L32" s="120">
        <f t="shared" si="6"/>
        <v>3.3444674643778205E-2</v>
      </c>
      <c r="M32" s="119">
        <v>23832</v>
      </c>
      <c r="N32" s="120">
        <f t="shared" si="7"/>
        <v>-2.4957041158661375E-2</v>
      </c>
    </row>
    <row r="33" spans="2:15" x14ac:dyDescent="0.25">
      <c r="B33" s="118" t="s">
        <v>77</v>
      </c>
      <c r="C33" s="119">
        <v>9500</v>
      </c>
      <c r="D33" s="120">
        <v>-0.5267038660821044</v>
      </c>
      <c r="E33" s="119">
        <v>12289</v>
      </c>
      <c r="F33" s="120">
        <f t="shared" si="6"/>
        <v>0.29357894736842116</v>
      </c>
      <c r="G33" s="119">
        <v>22226</v>
      </c>
      <c r="H33" s="120">
        <f t="shared" si="6"/>
        <v>0.80860932541297093</v>
      </c>
      <c r="I33" s="119">
        <v>30146</v>
      </c>
      <c r="J33" s="120">
        <f t="shared" si="6"/>
        <v>0.35633942229820925</v>
      </c>
      <c r="K33" s="119">
        <v>25658</v>
      </c>
      <c r="L33" s="120">
        <f t="shared" si="6"/>
        <v>-0.14887547269952894</v>
      </c>
      <c r="M33" s="119">
        <v>30942</v>
      </c>
      <c r="N33" s="120">
        <f t="shared" si="7"/>
        <v>0.20593966793982377</v>
      </c>
    </row>
    <row r="34" spans="2:15" x14ac:dyDescent="0.25">
      <c r="B34" s="118" t="s">
        <v>79</v>
      </c>
      <c r="C34" s="119">
        <v>0</v>
      </c>
      <c r="D34" s="120">
        <v>-1</v>
      </c>
      <c r="E34" s="119">
        <v>11550</v>
      </c>
      <c r="F34" s="120" t="str">
        <f t="shared" si="6"/>
        <v>-</v>
      </c>
      <c r="G34" s="119">
        <v>22061</v>
      </c>
      <c r="H34" s="120">
        <f t="shared" si="6"/>
        <v>0.91004329004328999</v>
      </c>
      <c r="I34" s="119">
        <v>25115</v>
      </c>
      <c r="J34" s="120">
        <f t="shared" si="6"/>
        <v>0.13843434114500708</v>
      </c>
      <c r="K34" s="119">
        <v>22776</v>
      </c>
      <c r="L34" s="120">
        <f t="shared" si="6"/>
        <v>-9.3131594664543127E-2</v>
      </c>
      <c r="M34" s="119">
        <v>26836</v>
      </c>
      <c r="N34" s="120">
        <f t="shared" si="7"/>
        <v>0.17825781524411655</v>
      </c>
    </row>
    <row r="35" spans="2:15" x14ac:dyDescent="0.25">
      <c r="B35" s="118" t="s">
        <v>81</v>
      </c>
      <c r="C35" s="119">
        <v>0</v>
      </c>
      <c r="D35" s="120">
        <v>-1</v>
      </c>
      <c r="E35" s="119">
        <v>15346</v>
      </c>
      <c r="F35" s="120" t="str">
        <f t="shared" si="6"/>
        <v>-</v>
      </c>
      <c r="G35" s="119">
        <v>26282</v>
      </c>
      <c r="H35" s="120">
        <f t="shared" si="6"/>
        <v>0.71262869803206041</v>
      </c>
      <c r="I35" s="119">
        <v>28209</v>
      </c>
      <c r="J35" s="120">
        <f t="shared" si="6"/>
        <v>7.3320143063693832E-2</v>
      </c>
      <c r="K35" s="119">
        <v>24741</v>
      </c>
      <c r="L35" s="120">
        <f t="shared" si="6"/>
        <v>-0.12293948739763905</v>
      </c>
      <c r="M35" s="119">
        <v>30811</v>
      </c>
      <c r="N35" s="120">
        <f t="shared" si="7"/>
        <v>0.24534174043086376</v>
      </c>
    </row>
    <row r="36" spans="2:15" x14ac:dyDescent="0.25">
      <c r="B36" s="118" t="s">
        <v>83</v>
      </c>
      <c r="C36" s="119">
        <v>0</v>
      </c>
      <c r="D36" s="120">
        <v>-1</v>
      </c>
      <c r="E36" s="119">
        <v>18447</v>
      </c>
      <c r="F36" s="120" t="str">
        <f t="shared" si="6"/>
        <v>-</v>
      </c>
      <c r="G36" s="119">
        <v>24304</v>
      </c>
      <c r="H36" s="120">
        <f t="shared" si="6"/>
        <v>0.31750420122513145</v>
      </c>
      <c r="I36" s="119">
        <v>25871</v>
      </c>
      <c r="J36" s="120">
        <f t="shared" si="6"/>
        <v>6.4474983541803921E-2</v>
      </c>
      <c r="K36" s="119">
        <v>28215</v>
      </c>
      <c r="L36" s="120">
        <f t="shared" si="6"/>
        <v>9.0603378300027071E-2</v>
      </c>
      <c r="M36" s="119">
        <v>31150</v>
      </c>
      <c r="N36" s="120">
        <f t="shared" si="7"/>
        <v>0.10402268297005146</v>
      </c>
    </row>
    <row r="37" spans="2:15" x14ac:dyDescent="0.25">
      <c r="B37" s="118" t="s">
        <v>85</v>
      </c>
      <c r="C37" s="119">
        <v>0</v>
      </c>
      <c r="D37" s="120">
        <v>-1</v>
      </c>
      <c r="E37" s="119">
        <v>20547</v>
      </c>
      <c r="F37" s="120" t="str">
        <f t="shared" si="6"/>
        <v>-</v>
      </c>
      <c r="G37" s="119">
        <v>25584</v>
      </c>
      <c r="H37" s="120">
        <f t="shared" si="6"/>
        <v>0.24514527668272734</v>
      </c>
      <c r="I37" s="119">
        <v>25078</v>
      </c>
      <c r="J37" s="120">
        <f t="shared" si="6"/>
        <v>-1.9777986241400924E-2</v>
      </c>
      <c r="K37" s="119">
        <v>30089</v>
      </c>
      <c r="L37" s="120">
        <f t="shared" si="6"/>
        <v>0.19981657229444139</v>
      </c>
      <c r="M37" s="119"/>
      <c r="N37" s="120"/>
    </row>
    <row r="38" spans="2:15" x14ac:dyDescent="0.25">
      <c r="B38" s="118" t="s">
        <v>87</v>
      </c>
      <c r="C38" s="119">
        <v>9653</v>
      </c>
      <c r="D38" s="120">
        <v>-0.51242549752500255</v>
      </c>
      <c r="E38" s="119">
        <v>22058</v>
      </c>
      <c r="F38" s="120">
        <f t="shared" si="6"/>
        <v>1.2850927172899618</v>
      </c>
      <c r="G38" s="119">
        <v>20956</v>
      </c>
      <c r="H38" s="120">
        <f t="shared" si="6"/>
        <v>-4.9959198476743127E-2</v>
      </c>
      <c r="I38" s="119">
        <v>22168</v>
      </c>
      <c r="J38" s="120">
        <f t="shared" si="6"/>
        <v>5.7835464783355661E-2</v>
      </c>
      <c r="K38" s="119">
        <v>21698</v>
      </c>
      <c r="L38" s="120">
        <f t="shared" si="6"/>
        <v>-2.1201732226633019E-2</v>
      </c>
      <c r="M38" s="119"/>
      <c r="N38" s="120"/>
    </row>
    <row r="39" spans="2:15" x14ac:dyDescent="0.25">
      <c r="B39" s="118" t="s">
        <v>89</v>
      </c>
      <c r="C39" s="119">
        <v>9944</v>
      </c>
      <c r="D39" s="120">
        <v>-0.45130497158307126</v>
      </c>
      <c r="E39" s="119">
        <v>22567</v>
      </c>
      <c r="F39" s="120">
        <f t="shared" si="6"/>
        <v>1.2694086886564762</v>
      </c>
      <c r="G39" s="119">
        <v>24548</v>
      </c>
      <c r="H39" s="120">
        <f t="shared" si="6"/>
        <v>8.7783046040678769E-2</v>
      </c>
      <c r="I39" s="119">
        <v>23087</v>
      </c>
      <c r="J39" s="120">
        <f t="shared" si="6"/>
        <v>-5.9516050187387926E-2</v>
      </c>
      <c r="K39" s="119">
        <v>27092</v>
      </c>
      <c r="L39" s="120">
        <f t="shared" si="6"/>
        <v>0.17347424957768443</v>
      </c>
      <c r="M39" s="119"/>
      <c r="N39" s="120"/>
    </row>
    <row r="40" spans="2:15" x14ac:dyDescent="0.25">
      <c r="B40" s="118" t="s">
        <v>91</v>
      </c>
      <c r="C40" s="119">
        <v>12162</v>
      </c>
      <c r="D40" s="120">
        <v>-0.40147637795275593</v>
      </c>
      <c r="E40" s="119">
        <v>24014</v>
      </c>
      <c r="F40" s="120">
        <f t="shared" si="6"/>
        <v>0.97451077125472785</v>
      </c>
      <c r="G40" s="119">
        <v>26214</v>
      </c>
      <c r="H40" s="120">
        <f t="shared" si="6"/>
        <v>9.1613225618389249E-2</v>
      </c>
      <c r="I40" s="119">
        <v>28464</v>
      </c>
      <c r="J40" s="120">
        <f t="shared" si="6"/>
        <v>8.583199816891729E-2</v>
      </c>
      <c r="K40" s="119">
        <v>24346</v>
      </c>
      <c r="L40" s="120">
        <f t="shared" si="6"/>
        <v>-0.14467397414277683</v>
      </c>
      <c r="M40" s="119"/>
      <c r="N40" s="120"/>
    </row>
    <row r="41" spans="2:15" x14ac:dyDescent="0.25">
      <c r="B41" s="118" t="s">
        <v>93</v>
      </c>
      <c r="C41" s="119">
        <v>9442</v>
      </c>
      <c r="D41" s="120">
        <v>-0.57268283852280955</v>
      </c>
      <c r="E41" s="119">
        <v>24464</v>
      </c>
      <c r="F41" s="120">
        <f t="shared" si="6"/>
        <v>1.5909764880321964</v>
      </c>
      <c r="G41" s="119">
        <v>25866</v>
      </c>
      <c r="H41" s="120">
        <f t="shared" si="6"/>
        <v>5.7308698495748933E-2</v>
      </c>
      <c r="I41" s="119">
        <v>26745</v>
      </c>
      <c r="J41" s="120">
        <f t="shared" si="6"/>
        <v>3.3982834609139312E-2</v>
      </c>
      <c r="K41" s="119">
        <v>29114</v>
      </c>
      <c r="L41" s="120">
        <f t="shared" si="6"/>
        <v>8.8577304169003446E-2</v>
      </c>
      <c r="M41" s="119"/>
      <c r="N41" s="120"/>
    </row>
    <row r="42" spans="2:15" x14ac:dyDescent="0.25">
      <c r="B42" s="118" t="s">
        <v>95</v>
      </c>
      <c r="C42" s="119">
        <v>7829</v>
      </c>
      <c r="D42" s="120">
        <v>-0.61874847820793766</v>
      </c>
      <c r="E42" s="119">
        <v>21342</v>
      </c>
      <c r="F42" s="120">
        <f t="shared" si="6"/>
        <v>1.7260186486141271</v>
      </c>
      <c r="G42" s="119">
        <v>20862</v>
      </c>
      <c r="H42" s="120">
        <f t="shared" si="6"/>
        <v>-2.2490863086870982E-2</v>
      </c>
      <c r="I42" s="119">
        <v>22180</v>
      </c>
      <c r="J42" s="120">
        <f t="shared" si="6"/>
        <v>6.3177068353944987E-2</v>
      </c>
      <c r="K42" s="119">
        <v>25047</v>
      </c>
      <c r="L42" s="120">
        <f t="shared" si="6"/>
        <v>0.12926059513074839</v>
      </c>
      <c r="M42" s="119"/>
      <c r="N42" s="120"/>
    </row>
    <row r="43" spans="2:15" ht="15.75" x14ac:dyDescent="0.25">
      <c r="B43" s="121" t="s">
        <v>32</v>
      </c>
      <c r="C43" s="122">
        <v>116562</v>
      </c>
      <c r="D43" s="123">
        <v>-0.50485115204241149</v>
      </c>
      <c r="E43" s="122">
        <v>206631</v>
      </c>
      <c r="F43" s="123">
        <f t="shared" si="6"/>
        <v>0.77271323415864512</v>
      </c>
      <c r="G43" s="122">
        <v>271944</v>
      </c>
      <c r="H43" s="123">
        <f t="shared" si="6"/>
        <v>0.31608519534822954</v>
      </c>
      <c r="I43" s="122">
        <v>302350</v>
      </c>
      <c r="J43" s="123">
        <f t="shared" si="6"/>
        <v>0.11180978436736977</v>
      </c>
      <c r="K43" s="122">
        <v>308399</v>
      </c>
      <c r="L43" s="123">
        <f t="shared" si="6"/>
        <v>2.0006614850339055E-2</v>
      </c>
      <c r="M43" s="122">
        <v>166691</v>
      </c>
      <c r="N43" s="123">
        <v>0.10381887652056454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4"/>
      <c r="K46" s="124"/>
      <c r="N46" s="81"/>
    </row>
    <row r="48" spans="2:15" ht="48.75" customHeight="1" thickBot="1" x14ac:dyDescent="0.3">
      <c r="B48" s="278" t="s">
        <v>272</v>
      </c>
      <c r="C48" s="278"/>
      <c r="D48" s="278"/>
      <c r="E48" s="278"/>
      <c r="F48" s="278"/>
      <c r="G48" s="278"/>
      <c r="H48" s="278"/>
      <c r="I48" s="278"/>
      <c r="J48" s="278"/>
      <c r="K48" s="278"/>
      <c r="L48" s="278"/>
      <c r="M48" s="278"/>
      <c r="N48" s="278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3" t="s">
        <v>102</v>
      </c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</row>
    <row r="51" spans="1:15" ht="22.5" thickTop="1" thickBot="1" x14ac:dyDescent="0.3">
      <c r="B51" s="111"/>
      <c r="C51" s="305">
        <f>$C$7</f>
        <v>2020</v>
      </c>
      <c r="D51" s="306"/>
      <c r="E51" s="307">
        <f>$E$7</f>
        <v>2021</v>
      </c>
      <c r="F51" s="306"/>
      <c r="G51" s="307">
        <f>$G$7</f>
        <v>2022</v>
      </c>
      <c r="H51" s="306"/>
      <c r="I51" s="307">
        <f>$I$7</f>
        <v>2023</v>
      </c>
      <c r="J51" s="306"/>
      <c r="K51" s="307">
        <f>$K$7</f>
        <v>2024</v>
      </c>
      <c r="L51" s="306"/>
      <c r="M51" s="307">
        <f>$M$7</f>
        <v>2025</v>
      </c>
      <c r="N51" s="308"/>
    </row>
    <row r="52" spans="1:15" ht="16.5" thickTop="1" thickBot="1" x14ac:dyDescent="0.3">
      <c r="B52" s="87"/>
      <c r="C52" s="115" t="s">
        <v>71</v>
      </c>
      <c r="D52" s="116" t="str">
        <f>CONCATENATE("var. ",RIGHT(C51,2),"/",RIGHT(C51-1,2))</f>
        <v>var. 20/19</v>
      </c>
      <c r="E52" s="117" t="s">
        <v>71</v>
      </c>
      <c r="F52" s="116" t="s">
        <v>248</v>
      </c>
      <c r="G52" s="117" t="s">
        <v>71</v>
      </c>
      <c r="H52" s="116" t="s">
        <v>248</v>
      </c>
      <c r="I52" s="117" t="s">
        <v>71</v>
      </c>
      <c r="J52" s="116" t="s">
        <v>248</v>
      </c>
      <c r="K52" s="117" t="s">
        <v>71</v>
      </c>
      <c r="L52" s="116" t="s">
        <v>248</v>
      </c>
      <c r="M52" s="117" t="s">
        <v>71</v>
      </c>
      <c r="N52" s="116" t="s">
        <v>271</v>
      </c>
    </row>
    <row r="53" spans="1:15" x14ac:dyDescent="0.25">
      <c r="A53" s="1">
        <v>1</v>
      </c>
      <c r="B53" s="118" t="s">
        <v>73</v>
      </c>
      <c r="C53" s="119">
        <v>9493</v>
      </c>
      <c r="D53" s="120">
        <v>-8.3952523400559698E-2</v>
      </c>
      <c r="E53" s="119">
        <v>2921</v>
      </c>
      <c r="F53" s="120">
        <f>IFERROR(E53/C53-1,"-")</f>
        <v>-0.69229958917096801</v>
      </c>
      <c r="G53" s="119">
        <v>9522</v>
      </c>
      <c r="H53" s="120">
        <f>IFERROR(G53/E53-1,"-")</f>
        <v>2.2598425196850394</v>
      </c>
      <c r="I53" s="119">
        <v>11784</v>
      </c>
      <c r="J53" s="120">
        <f>IFERROR(I53/G53-1,"-")</f>
        <v>0.23755513547574036</v>
      </c>
      <c r="K53" s="119">
        <v>14922</v>
      </c>
      <c r="L53" s="120">
        <f>IFERROR(K53/I53-1,"-")</f>
        <v>0.2662932790224033</v>
      </c>
      <c r="M53" s="119">
        <v>14862</v>
      </c>
      <c r="N53" s="120">
        <f t="shared" ref="N53:N58" si="8">IFERROR(M53/K53-1,"-")</f>
        <v>-4.0209087253719744E-3</v>
      </c>
    </row>
    <row r="54" spans="1:15" x14ac:dyDescent="0.25">
      <c r="A54" s="1">
        <v>2</v>
      </c>
      <c r="B54" s="118" t="s">
        <v>75</v>
      </c>
      <c r="C54" s="119">
        <v>12705</v>
      </c>
      <c r="D54" s="120">
        <v>0.15437034344902778</v>
      </c>
      <c r="E54" s="119">
        <v>5092</v>
      </c>
      <c r="F54" s="120">
        <f t="shared" ref="F54:L65" si="9">IFERROR(E54/C54-1,"-")</f>
        <v>-0.59921290830381735</v>
      </c>
      <c r="G54" s="119">
        <v>10749</v>
      </c>
      <c r="H54" s="120">
        <f t="shared" si="9"/>
        <v>1.1109583660644149</v>
      </c>
      <c r="I54" s="119">
        <v>13893</v>
      </c>
      <c r="J54" s="120">
        <f t="shared" si="9"/>
        <v>0.2924923248674296</v>
      </c>
      <c r="K54" s="119">
        <v>15680</v>
      </c>
      <c r="L54" s="120">
        <f t="shared" si="9"/>
        <v>0.12862592672568929</v>
      </c>
      <c r="M54" s="119">
        <v>14169</v>
      </c>
      <c r="N54" s="120">
        <f t="shared" si="8"/>
        <v>-9.636479591836733E-2</v>
      </c>
    </row>
    <row r="55" spans="1:15" x14ac:dyDescent="0.25">
      <c r="A55" s="1">
        <v>3</v>
      </c>
      <c r="B55" s="118" t="s">
        <v>77</v>
      </c>
      <c r="C55" s="119">
        <v>5294</v>
      </c>
      <c r="D55" s="120">
        <v>-0.56055449489499454</v>
      </c>
      <c r="E55" s="119">
        <v>5922</v>
      </c>
      <c r="F55" s="120">
        <f t="shared" si="9"/>
        <v>0.11862485833018521</v>
      </c>
      <c r="G55" s="119">
        <v>12631</v>
      </c>
      <c r="H55" s="120">
        <f t="shared" si="9"/>
        <v>1.1328942924687606</v>
      </c>
      <c r="I55" s="119">
        <v>18087</v>
      </c>
      <c r="J55" s="120">
        <f t="shared" si="9"/>
        <v>0.43195313118517942</v>
      </c>
      <c r="K55" s="119">
        <v>14870</v>
      </c>
      <c r="L55" s="120">
        <f t="shared" si="9"/>
        <v>-0.17786255321501632</v>
      </c>
      <c r="M55" s="119">
        <v>17196</v>
      </c>
      <c r="N55" s="120">
        <f t="shared" si="8"/>
        <v>0.15642232683254886</v>
      </c>
    </row>
    <row r="56" spans="1:15" x14ac:dyDescent="0.25">
      <c r="A56" s="1">
        <v>4</v>
      </c>
      <c r="B56" s="118" t="s">
        <v>79</v>
      </c>
      <c r="C56" s="119">
        <v>0</v>
      </c>
      <c r="D56" s="120">
        <v>-1</v>
      </c>
      <c r="E56" s="119">
        <v>6402</v>
      </c>
      <c r="F56" s="120" t="str">
        <f t="shared" si="9"/>
        <v>-</v>
      </c>
      <c r="G56" s="119">
        <v>10238</v>
      </c>
      <c r="H56" s="120">
        <f t="shared" si="9"/>
        <v>0.59918775382692901</v>
      </c>
      <c r="I56" s="119">
        <v>14354</v>
      </c>
      <c r="J56" s="120">
        <f t="shared" si="9"/>
        <v>0.40203164680601677</v>
      </c>
      <c r="K56" s="119">
        <v>13713</v>
      </c>
      <c r="L56" s="120">
        <f t="shared" si="9"/>
        <v>-4.4656541730528021E-2</v>
      </c>
      <c r="M56" s="119">
        <v>14757</v>
      </c>
      <c r="N56" s="120">
        <f t="shared" si="8"/>
        <v>7.613213738788005E-2</v>
      </c>
    </row>
    <row r="57" spans="1:15" x14ac:dyDescent="0.25">
      <c r="A57" s="1">
        <v>5</v>
      </c>
      <c r="B57" s="118" t="s">
        <v>81</v>
      </c>
      <c r="C57" s="119">
        <v>0</v>
      </c>
      <c r="D57" s="120">
        <v>-1</v>
      </c>
      <c r="E57" s="119">
        <v>7617</v>
      </c>
      <c r="F57" s="120" t="str">
        <f t="shared" si="9"/>
        <v>-</v>
      </c>
      <c r="G57" s="119">
        <v>14454</v>
      </c>
      <c r="H57" s="120">
        <f t="shared" si="9"/>
        <v>0.89759747932256784</v>
      </c>
      <c r="I57" s="119">
        <v>16688</v>
      </c>
      <c r="J57" s="120">
        <f t="shared" si="9"/>
        <v>0.15455929154559289</v>
      </c>
      <c r="K57" s="119">
        <v>14967</v>
      </c>
      <c r="L57" s="120">
        <f t="shared" si="9"/>
        <v>-0.10312799616490886</v>
      </c>
      <c r="M57" s="119">
        <v>15736</v>
      </c>
      <c r="N57" s="120">
        <f t="shared" si="8"/>
        <v>5.13797020110911E-2</v>
      </c>
    </row>
    <row r="58" spans="1:15" x14ac:dyDescent="0.25">
      <c r="A58" s="1">
        <v>6</v>
      </c>
      <c r="B58" s="118" t="s">
        <v>83</v>
      </c>
      <c r="C58" s="119">
        <v>0</v>
      </c>
      <c r="D58" s="120">
        <v>-1</v>
      </c>
      <c r="E58" s="119">
        <v>8838</v>
      </c>
      <c r="F58" s="120" t="str">
        <f t="shared" si="9"/>
        <v>-</v>
      </c>
      <c r="G58" s="119">
        <v>12044</v>
      </c>
      <c r="H58" s="120">
        <f t="shared" si="9"/>
        <v>0.36275175379045033</v>
      </c>
      <c r="I58" s="119">
        <v>14668</v>
      </c>
      <c r="J58" s="120">
        <f t="shared" si="9"/>
        <v>0.21786781800066413</v>
      </c>
      <c r="K58" s="119">
        <v>15572</v>
      </c>
      <c r="L58" s="120">
        <f t="shared" si="9"/>
        <v>6.1630760839923582E-2</v>
      </c>
      <c r="M58" s="119">
        <v>15923</v>
      </c>
      <c r="N58" s="120">
        <f t="shared" si="8"/>
        <v>2.2540457230927347E-2</v>
      </c>
    </row>
    <row r="59" spans="1:15" x14ac:dyDescent="0.25">
      <c r="A59" s="1">
        <v>7</v>
      </c>
      <c r="B59" s="118" t="s">
        <v>85</v>
      </c>
      <c r="C59" s="119">
        <v>0</v>
      </c>
      <c r="D59" s="120">
        <v>-1</v>
      </c>
      <c r="E59" s="119">
        <v>11856</v>
      </c>
      <c r="F59" s="120" t="str">
        <f t="shared" si="9"/>
        <v>-</v>
      </c>
      <c r="G59" s="119">
        <v>12331</v>
      </c>
      <c r="H59" s="120">
        <f t="shared" si="9"/>
        <v>4.0064102564102644E-2</v>
      </c>
      <c r="I59" s="119">
        <v>16466</v>
      </c>
      <c r="J59" s="120">
        <f t="shared" si="9"/>
        <v>0.3353337117833104</v>
      </c>
      <c r="K59" s="119">
        <v>13056</v>
      </c>
      <c r="L59" s="120">
        <f t="shared" si="9"/>
        <v>-0.20709340459127901</v>
      </c>
      <c r="M59" s="119"/>
      <c r="N59" s="120"/>
    </row>
    <row r="60" spans="1:15" x14ac:dyDescent="0.25">
      <c r="A60" s="1">
        <v>8</v>
      </c>
      <c r="B60" s="118" t="s">
        <v>87</v>
      </c>
      <c r="C60" s="119">
        <v>7712</v>
      </c>
      <c r="D60" s="120">
        <v>-0.10895436164067018</v>
      </c>
      <c r="E60" s="119">
        <v>12416</v>
      </c>
      <c r="F60" s="120">
        <f t="shared" si="9"/>
        <v>0.60995850622406644</v>
      </c>
      <c r="G60" s="119">
        <v>9178</v>
      </c>
      <c r="H60" s="120">
        <f t="shared" si="9"/>
        <v>-0.26079252577319589</v>
      </c>
      <c r="I60" s="119">
        <v>13548</v>
      </c>
      <c r="J60" s="120">
        <f t="shared" si="9"/>
        <v>0.47613859228590116</v>
      </c>
      <c r="K60" s="119">
        <v>9705</v>
      </c>
      <c r="L60" s="120">
        <f t="shared" si="9"/>
        <v>-0.28365810451727191</v>
      </c>
      <c r="M60" s="119"/>
      <c r="N60" s="120"/>
    </row>
    <row r="61" spans="1:15" x14ac:dyDescent="0.25">
      <c r="A61" s="1">
        <v>9</v>
      </c>
      <c r="B61" s="118" t="s">
        <v>89</v>
      </c>
      <c r="C61" s="119">
        <v>7090</v>
      </c>
      <c r="D61" s="120">
        <v>-0.28549833719641238</v>
      </c>
      <c r="E61" s="119">
        <v>12801</v>
      </c>
      <c r="F61" s="120">
        <f t="shared" si="9"/>
        <v>0.80550070521861783</v>
      </c>
      <c r="G61" s="119">
        <v>13050</v>
      </c>
      <c r="H61" s="120">
        <f t="shared" si="9"/>
        <v>1.9451605343332456E-2</v>
      </c>
      <c r="I61" s="119">
        <v>15730</v>
      </c>
      <c r="J61" s="120">
        <f t="shared" si="9"/>
        <v>0.20536398467432959</v>
      </c>
      <c r="K61" s="119">
        <v>13601</v>
      </c>
      <c r="L61" s="120">
        <f t="shared" si="9"/>
        <v>-0.13534647171010805</v>
      </c>
      <c r="M61" s="119"/>
      <c r="N61" s="120"/>
    </row>
    <row r="62" spans="1:15" x14ac:dyDescent="0.25">
      <c r="A62" s="1">
        <v>10</v>
      </c>
      <c r="B62" s="118" t="s">
        <v>91</v>
      </c>
      <c r="C62" s="119">
        <v>7680</v>
      </c>
      <c r="D62" s="120">
        <v>-0.25825767819200307</v>
      </c>
      <c r="E62" s="119">
        <v>12385</v>
      </c>
      <c r="F62" s="120">
        <f t="shared" si="9"/>
        <v>0.61263020833333326</v>
      </c>
      <c r="G62" s="119">
        <v>14337</v>
      </c>
      <c r="H62" s="120">
        <f t="shared" si="9"/>
        <v>0.157610012111425</v>
      </c>
      <c r="I62" s="119">
        <v>16623</v>
      </c>
      <c r="J62" s="120">
        <f t="shared" si="9"/>
        <v>0.15944758317639685</v>
      </c>
      <c r="K62" s="119">
        <v>16019</v>
      </c>
      <c r="L62" s="120">
        <f t="shared" si="9"/>
        <v>-3.6335198219334619E-2</v>
      </c>
      <c r="M62" s="119"/>
      <c r="N62" s="120"/>
    </row>
    <row r="63" spans="1:15" x14ac:dyDescent="0.25">
      <c r="A63" s="1">
        <v>11</v>
      </c>
      <c r="B63" s="118" t="s">
        <v>93</v>
      </c>
      <c r="C63" s="119">
        <v>5836</v>
      </c>
      <c r="D63" s="120">
        <v>-0.53971133370139601</v>
      </c>
      <c r="E63" s="119">
        <v>13540</v>
      </c>
      <c r="F63" s="120">
        <f t="shared" si="9"/>
        <v>1.3200822481151473</v>
      </c>
      <c r="G63" s="119">
        <v>14216</v>
      </c>
      <c r="H63" s="120">
        <f t="shared" si="9"/>
        <v>4.9926144756277768E-2</v>
      </c>
      <c r="I63" s="119">
        <v>17852</v>
      </c>
      <c r="J63" s="120">
        <f t="shared" si="9"/>
        <v>0.25576814856499719</v>
      </c>
      <c r="K63" s="119">
        <v>19160</v>
      </c>
      <c r="L63" s="120">
        <f t="shared" si="9"/>
        <v>7.3269101501232337E-2</v>
      </c>
      <c r="M63" s="119"/>
      <c r="N63" s="120"/>
    </row>
    <row r="64" spans="1:15" x14ac:dyDescent="0.25">
      <c r="A64" s="1">
        <v>12</v>
      </c>
      <c r="B64" s="118" t="s">
        <v>95</v>
      </c>
      <c r="C64" s="119">
        <v>4463</v>
      </c>
      <c r="D64" s="120">
        <v>-0.54403351042092352</v>
      </c>
      <c r="E64" s="119">
        <v>10372</v>
      </c>
      <c r="F64" s="120">
        <f t="shared" si="9"/>
        <v>1.3239973112256331</v>
      </c>
      <c r="G64" s="119">
        <v>10635</v>
      </c>
      <c r="H64" s="120">
        <f t="shared" si="9"/>
        <v>2.5356729656768273E-2</v>
      </c>
      <c r="I64" s="119">
        <v>11703</v>
      </c>
      <c r="J64" s="120">
        <f t="shared" si="9"/>
        <v>0.10042313117066293</v>
      </c>
      <c r="K64" s="119">
        <v>13225</v>
      </c>
      <c r="L64" s="120">
        <f t="shared" si="9"/>
        <v>0.13005212338716565</v>
      </c>
      <c r="M64" s="119"/>
      <c r="N64" s="120"/>
    </row>
    <row r="65" spans="1:15" ht="15.75" x14ac:dyDescent="0.25">
      <c r="B65" s="121" t="s">
        <v>32</v>
      </c>
      <c r="C65" s="122">
        <v>71188</v>
      </c>
      <c r="D65" s="123">
        <v>-0.42911216789497741</v>
      </c>
      <c r="E65" s="122">
        <v>110162</v>
      </c>
      <c r="F65" s="123">
        <f t="shared" si="9"/>
        <v>0.54747991234477711</v>
      </c>
      <c r="G65" s="122">
        <v>143385</v>
      </c>
      <c r="H65" s="123">
        <f t="shared" si="9"/>
        <v>0.30158312303698187</v>
      </c>
      <c r="I65" s="122">
        <v>181396</v>
      </c>
      <c r="J65" s="123">
        <f t="shared" si="9"/>
        <v>0.26509746486731522</v>
      </c>
      <c r="K65" s="122">
        <v>174490</v>
      </c>
      <c r="L65" s="123">
        <f t="shared" si="9"/>
        <v>-3.807140179496793E-2</v>
      </c>
      <c r="M65" s="122">
        <v>92643</v>
      </c>
      <c r="N65" s="123">
        <v>3.2533101511301288E-2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4"/>
      <c r="K68" s="124"/>
      <c r="N68" s="81"/>
    </row>
    <row r="70" spans="1:15" ht="48.75" customHeight="1" thickBot="1" x14ac:dyDescent="0.3">
      <c r="B70" s="278" t="s">
        <v>273</v>
      </c>
      <c r="C70" s="278"/>
      <c r="D70" s="278"/>
      <c r="E70" s="278"/>
      <c r="F70" s="278"/>
      <c r="G70" s="278"/>
      <c r="H70" s="278"/>
      <c r="I70" s="278"/>
      <c r="J70" s="278"/>
      <c r="K70" s="278"/>
      <c r="L70" s="278"/>
      <c r="M70" s="278"/>
      <c r="N70" s="278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3" t="s">
        <v>105</v>
      </c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</row>
    <row r="73" spans="1:15" ht="22.5" thickTop="1" thickBot="1" x14ac:dyDescent="0.3">
      <c r="B73" s="111"/>
      <c r="C73" s="305">
        <f>$C$7</f>
        <v>2020</v>
      </c>
      <c r="D73" s="306"/>
      <c r="E73" s="307">
        <f>$E$7</f>
        <v>2021</v>
      </c>
      <c r="F73" s="306"/>
      <c r="G73" s="307">
        <f>$G$7</f>
        <v>2022</v>
      </c>
      <c r="H73" s="306"/>
      <c r="I73" s="307">
        <f>$I$7</f>
        <v>2023</v>
      </c>
      <c r="J73" s="306"/>
      <c r="K73" s="307">
        <f>$K$7</f>
        <v>2024</v>
      </c>
      <c r="L73" s="306"/>
      <c r="M73" s="307">
        <f>$M$7</f>
        <v>2025</v>
      </c>
      <c r="N73" s="308"/>
    </row>
    <row r="74" spans="1:15" ht="16.5" thickTop="1" thickBot="1" x14ac:dyDescent="0.3">
      <c r="B74" s="87"/>
      <c r="C74" s="115" t="s">
        <v>71</v>
      </c>
      <c r="D74" s="116" t="str">
        <f>CONCATENATE("var. ",RIGHT(C73,2),"/",RIGHT(C73-1,2))</f>
        <v>var. 20/19</v>
      </c>
      <c r="E74" s="117" t="s">
        <v>71</v>
      </c>
      <c r="F74" s="116" t="s">
        <v>248</v>
      </c>
      <c r="G74" s="117" t="s">
        <v>71</v>
      </c>
      <c r="H74" s="116" t="s">
        <v>248</v>
      </c>
      <c r="I74" s="117" t="s">
        <v>71</v>
      </c>
      <c r="J74" s="116" t="s">
        <v>248</v>
      </c>
      <c r="K74" s="117" t="s">
        <v>71</v>
      </c>
      <c r="L74" s="116" t="s">
        <v>248</v>
      </c>
      <c r="M74" s="117" t="s">
        <v>71</v>
      </c>
      <c r="N74" s="116" t="s">
        <v>271</v>
      </c>
    </row>
    <row r="75" spans="1:15" x14ac:dyDescent="0.25">
      <c r="A75" s="1">
        <v>1</v>
      </c>
      <c r="B75" s="118" t="s">
        <v>73</v>
      </c>
      <c r="C75" s="119">
        <v>8601</v>
      </c>
      <c r="D75" s="120">
        <v>3.9647044602925119E-2</v>
      </c>
      <c r="E75" s="119">
        <v>1706</v>
      </c>
      <c r="F75" s="120">
        <f>IFERROR(E75/C75-1,"-")</f>
        <v>-0.80165097081734682</v>
      </c>
      <c r="G75" s="119">
        <v>5493</v>
      </c>
      <c r="H75" s="120">
        <f>IFERROR(G75/E75-1,"-")</f>
        <v>2.2198124267291912</v>
      </c>
      <c r="I75" s="119">
        <v>9852</v>
      </c>
      <c r="J75" s="120">
        <f>IFERROR(I75/G75-1,"-")</f>
        <v>0.79355543418896768</v>
      </c>
      <c r="K75" s="119">
        <v>10259</v>
      </c>
      <c r="L75" s="120">
        <f>IFERROR(K75/I75-1,"-")</f>
        <v>4.1311408850994713E-2</v>
      </c>
      <c r="M75" s="119">
        <v>8258</v>
      </c>
      <c r="N75" s="120">
        <f t="shared" ref="N75:N80" si="10">IFERROR(M75/K75-1,"-")</f>
        <v>-0.19504825031679496</v>
      </c>
    </row>
    <row r="76" spans="1:15" x14ac:dyDescent="0.25">
      <c r="A76" s="1">
        <v>2</v>
      </c>
      <c r="B76" s="118" t="s">
        <v>75</v>
      </c>
      <c r="C76" s="119">
        <v>10666</v>
      </c>
      <c r="D76" s="120">
        <v>0.38214331994298312</v>
      </c>
      <c r="E76" s="119">
        <v>4288</v>
      </c>
      <c r="F76" s="120">
        <f t="shared" ref="F76:L87" si="11">IFERROR(E76/C76-1,"-")</f>
        <v>-0.59797487342958933</v>
      </c>
      <c r="G76" s="119">
        <v>7277</v>
      </c>
      <c r="H76" s="120">
        <f t="shared" si="11"/>
        <v>0.69706156716417911</v>
      </c>
      <c r="I76" s="119">
        <v>9758</v>
      </c>
      <c r="J76" s="120">
        <f t="shared" si="11"/>
        <v>0.34093719939535516</v>
      </c>
      <c r="K76" s="119">
        <v>8762</v>
      </c>
      <c r="L76" s="120">
        <f t="shared" si="11"/>
        <v>-0.10207009633121544</v>
      </c>
      <c r="M76" s="119">
        <v>9663</v>
      </c>
      <c r="N76" s="120">
        <f t="shared" si="10"/>
        <v>0.10283040401734755</v>
      </c>
    </row>
    <row r="77" spans="1:15" x14ac:dyDescent="0.25">
      <c r="A77" s="1">
        <v>3</v>
      </c>
      <c r="B77" s="118" t="s">
        <v>77</v>
      </c>
      <c r="C77" s="119">
        <v>4206</v>
      </c>
      <c r="D77" s="120">
        <v>-0.47588785046728976</v>
      </c>
      <c r="E77" s="119">
        <v>6367</v>
      </c>
      <c r="F77" s="120">
        <f t="shared" si="11"/>
        <v>0.51378982406086537</v>
      </c>
      <c r="G77" s="119">
        <v>9595</v>
      </c>
      <c r="H77" s="120">
        <f t="shared" si="11"/>
        <v>0.50698916287105389</v>
      </c>
      <c r="I77" s="119">
        <v>12059</v>
      </c>
      <c r="J77" s="120">
        <f t="shared" si="11"/>
        <v>0.25680041688379363</v>
      </c>
      <c r="K77" s="119">
        <v>10788</v>
      </c>
      <c r="L77" s="120">
        <f t="shared" si="11"/>
        <v>-0.1053984575835476</v>
      </c>
      <c r="M77" s="119">
        <v>13746</v>
      </c>
      <c r="N77" s="120">
        <f t="shared" si="10"/>
        <v>0.27419354838709675</v>
      </c>
    </row>
    <row r="78" spans="1:15" x14ac:dyDescent="0.25">
      <c r="A78" s="1">
        <v>4</v>
      </c>
      <c r="B78" s="118" t="s">
        <v>79</v>
      </c>
      <c r="C78" s="119">
        <v>0</v>
      </c>
      <c r="D78" s="120">
        <v>-1</v>
      </c>
      <c r="E78" s="119">
        <v>5148</v>
      </c>
      <c r="F78" s="120" t="str">
        <f t="shared" si="11"/>
        <v>-</v>
      </c>
      <c r="G78" s="119">
        <v>11823</v>
      </c>
      <c r="H78" s="120">
        <f t="shared" si="11"/>
        <v>1.2966200466200468</v>
      </c>
      <c r="I78" s="119">
        <v>10761</v>
      </c>
      <c r="J78" s="120">
        <f t="shared" si="11"/>
        <v>-8.9824917533620874E-2</v>
      </c>
      <c r="K78" s="119">
        <v>9063</v>
      </c>
      <c r="L78" s="120">
        <f t="shared" si="11"/>
        <v>-0.15779202676331194</v>
      </c>
      <c r="M78" s="119">
        <v>12079</v>
      </c>
      <c r="N78" s="120">
        <f t="shared" si="10"/>
        <v>0.33278163963367535</v>
      </c>
    </row>
    <row r="79" spans="1:15" x14ac:dyDescent="0.25">
      <c r="A79" s="1">
        <v>5</v>
      </c>
      <c r="B79" s="118" t="s">
        <v>81</v>
      </c>
      <c r="C79" s="119">
        <v>0</v>
      </c>
      <c r="D79" s="120">
        <v>-1</v>
      </c>
      <c r="E79" s="119">
        <v>7729</v>
      </c>
      <c r="F79" s="120" t="str">
        <f t="shared" si="11"/>
        <v>-</v>
      </c>
      <c r="G79" s="119">
        <v>11828</v>
      </c>
      <c r="H79" s="120">
        <f t="shared" si="11"/>
        <v>0.53034027687928575</v>
      </c>
      <c r="I79" s="119">
        <v>11521</v>
      </c>
      <c r="J79" s="120">
        <f t="shared" si="11"/>
        <v>-2.5955360162326691E-2</v>
      </c>
      <c r="K79" s="119">
        <v>9774</v>
      </c>
      <c r="L79" s="120">
        <f t="shared" si="11"/>
        <v>-0.1516361426959465</v>
      </c>
      <c r="M79" s="119">
        <v>15075</v>
      </c>
      <c r="N79" s="120">
        <f t="shared" si="10"/>
        <v>0.5423572744014733</v>
      </c>
    </row>
    <row r="80" spans="1:15" x14ac:dyDescent="0.25">
      <c r="A80" s="1">
        <v>6</v>
      </c>
      <c r="B80" s="118" t="s">
        <v>83</v>
      </c>
      <c r="C80" s="119">
        <v>0</v>
      </c>
      <c r="D80" s="120">
        <v>-1</v>
      </c>
      <c r="E80" s="119">
        <v>9609</v>
      </c>
      <c r="F80" s="120" t="str">
        <f t="shared" si="11"/>
        <v>-</v>
      </c>
      <c r="G80" s="119">
        <v>12260</v>
      </c>
      <c r="H80" s="120">
        <f t="shared" si="11"/>
        <v>0.27588718909355814</v>
      </c>
      <c r="I80" s="119">
        <v>11203</v>
      </c>
      <c r="J80" s="120">
        <f t="shared" si="11"/>
        <v>-8.6215334420880918E-2</v>
      </c>
      <c r="K80" s="119">
        <v>12643</v>
      </c>
      <c r="L80" s="120">
        <f t="shared" si="11"/>
        <v>0.12853699901812021</v>
      </c>
      <c r="M80" s="119">
        <v>15227</v>
      </c>
      <c r="N80" s="120">
        <f t="shared" si="10"/>
        <v>0.20438187139128372</v>
      </c>
    </row>
    <row r="81" spans="1:15" x14ac:dyDescent="0.25">
      <c r="A81" s="1">
        <v>7</v>
      </c>
      <c r="B81" s="118" t="s">
        <v>85</v>
      </c>
      <c r="C81" s="119">
        <v>0</v>
      </c>
      <c r="D81" s="120">
        <v>-1</v>
      </c>
      <c r="E81" s="119">
        <v>8691</v>
      </c>
      <c r="F81" s="120" t="str">
        <f t="shared" si="11"/>
        <v>-</v>
      </c>
      <c r="G81" s="119">
        <v>13253</v>
      </c>
      <c r="H81" s="120">
        <f t="shared" si="11"/>
        <v>0.52491082729260152</v>
      </c>
      <c r="I81" s="119">
        <v>8612</v>
      </c>
      <c r="J81" s="120">
        <f t="shared" si="11"/>
        <v>-0.3501848638044216</v>
      </c>
      <c r="K81" s="119">
        <v>17033</v>
      </c>
      <c r="L81" s="120">
        <f t="shared" si="11"/>
        <v>0.97782164421737106</v>
      </c>
      <c r="M81" s="119"/>
      <c r="N81" s="120"/>
    </row>
    <row r="82" spans="1:15" x14ac:dyDescent="0.25">
      <c r="A82" s="1">
        <v>8</v>
      </c>
      <c r="B82" s="118" t="s">
        <v>87</v>
      </c>
      <c r="C82" s="119">
        <v>1941</v>
      </c>
      <c r="D82" s="120">
        <v>-0.82580992551377541</v>
      </c>
      <c r="E82" s="119">
        <v>9642</v>
      </c>
      <c r="F82" s="120">
        <f t="shared" si="11"/>
        <v>3.9675425038639878</v>
      </c>
      <c r="G82" s="119">
        <v>11778</v>
      </c>
      <c r="H82" s="120">
        <f t="shared" si="11"/>
        <v>0.22153080273802117</v>
      </c>
      <c r="I82" s="119">
        <v>8620</v>
      </c>
      <c r="J82" s="120">
        <f t="shared" si="11"/>
        <v>-0.26812701647138737</v>
      </c>
      <c r="K82" s="119">
        <v>11993</v>
      </c>
      <c r="L82" s="120">
        <f t="shared" si="11"/>
        <v>0.39129930394431556</v>
      </c>
      <c r="M82" s="119"/>
      <c r="N82" s="120"/>
    </row>
    <row r="83" spans="1:15" x14ac:dyDescent="0.25">
      <c r="A83" s="1">
        <v>9</v>
      </c>
      <c r="B83" s="118" t="s">
        <v>89</v>
      </c>
      <c r="C83" s="119">
        <v>2854</v>
      </c>
      <c r="D83" s="120">
        <v>-0.65195121951219515</v>
      </c>
      <c r="E83" s="119">
        <v>9766</v>
      </c>
      <c r="F83" s="120">
        <f t="shared" si="11"/>
        <v>2.4218640504555009</v>
      </c>
      <c r="G83" s="119">
        <v>11498</v>
      </c>
      <c r="H83" s="120">
        <f t="shared" si="11"/>
        <v>0.17734998976039318</v>
      </c>
      <c r="I83" s="119">
        <v>7357</v>
      </c>
      <c r="J83" s="120">
        <f t="shared" si="11"/>
        <v>-0.36014959123325796</v>
      </c>
      <c r="K83" s="119">
        <v>13491</v>
      </c>
      <c r="L83" s="120">
        <f t="shared" si="11"/>
        <v>0.83376376240315353</v>
      </c>
      <c r="M83" s="119"/>
      <c r="N83" s="120"/>
    </row>
    <row r="84" spans="1:15" x14ac:dyDescent="0.25">
      <c r="A84" s="1">
        <v>10</v>
      </c>
      <c r="B84" s="118" t="s">
        <v>91</v>
      </c>
      <c r="C84" s="119">
        <v>4482</v>
      </c>
      <c r="D84" s="120">
        <v>-0.55027092113184828</v>
      </c>
      <c r="E84" s="119">
        <v>11629</v>
      </c>
      <c r="F84" s="120">
        <f t="shared" si="11"/>
        <v>1.5946006247211066</v>
      </c>
      <c r="G84" s="119">
        <v>11877</v>
      </c>
      <c r="H84" s="120">
        <f t="shared" si="11"/>
        <v>2.1325995356436422E-2</v>
      </c>
      <c r="I84" s="119">
        <v>11841</v>
      </c>
      <c r="J84" s="120">
        <f t="shared" si="11"/>
        <v>-3.0310684516291486E-3</v>
      </c>
      <c r="K84" s="119">
        <v>8327</v>
      </c>
      <c r="L84" s="120">
        <f t="shared" si="11"/>
        <v>-0.29676547588886071</v>
      </c>
      <c r="M84" s="119"/>
      <c r="N84" s="120"/>
    </row>
    <row r="85" spans="1:15" x14ac:dyDescent="0.25">
      <c r="A85" s="1">
        <v>11</v>
      </c>
      <c r="B85" s="118" t="s">
        <v>93</v>
      </c>
      <c r="C85" s="119">
        <v>3606</v>
      </c>
      <c r="D85" s="120">
        <v>-0.61707550175215031</v>
      </c>
      <c r="E85" s="119">
        <v>10924</v>
      </c>
      <c r="F85" s="120">
        <f t="shared" si="11"/>
        <v>2.0293954520244037</v>
      </c>
      <c r="G85" s="119">
        <v>11650</v>
      </c>
      <c r="H85" s="120">
        <f t="shared" si="11"/>
        <v>6.6459172464298888E-2</v>
      </c>
      <c r="I85" s="119">
        <v>8893</v>
      </c>
      <c r="J85" s="120">
        <f t="shared" si="11"/>
        <v>-0.23665236051502148</v>
      </c>
      <c r="K85" s="119">
        <v>9954</v>
      </c>
      <c r="L85" s="120">
        <f t="shared" si="11"/>
        <v>0.11930732036433156</v>
      </c>
      <c r="M85" s="119"/>
      <c r="N85" s="120"/>
    </row>
    <row r="86" spans="1:15" x14ac:dyDescent="0.25">
      <c r="A86" s="1">
        <v>12</v>
      </c>
      <c r="B86" s="118" t="s">
        <v>95</v>
      </c>
      <c r="C86" s="119">
        <v>3366</v>
      </c>
      <c r="D86" s="120">
        <v>-0.68679631525076767</v>
      </c>
      <c r="E86" s="119">
        <v>10970</v>
      </c>
      <c r="F86" s="120">
        <f t="shared" si="11"/>
        <v>2.2590612002376709</v>
      </c>
      <c r="G86" s="119">
        <v>10227</v>
      </c>
      <c r="H86" s="120">
        <f t="shared" si="11"/>
        <v>-6.7730173199635368E-2</v>
      </c>
      <c r="I86" s="119">
        <v>10477</v>
      </c>
      <c r="J86" s="120">
        <f t="shared" si="11"/>
        <v>2.4445096313679526E-2</v>
      </c>
      <c r="K86" s="119">
        <v>11822</v>
      </c>
      <c r="L86" s="120">
        <f t="shared" si="11"/>
        <v>0.12837644363844603</v>
      </c>
      <c r="M86" s="119"/>
      <c r="N86" s="120"/>
    </row>
    <row r="87" spans="1:15" ht="15.75" x14ac:dyDescent="0.25">
      <c r="B87" s="121" t="s">
        <v>32</v>
      </c>
      <c r="C87" s="122">
        <v>45374</v>
      </c>
      <c r="D87" s="123">
        <v>-0.59015815953247652</v>
      </c>
      <c r="E87" s="122">
        <v>96469</v>
      </c>
      <c r="F87" s="123">
        <f t="shared" si="11"/>
        <v>1.126085423370212</v>
      </c>
      <c r="G87" s="122">
        <v>128559</v>
      </c>
      <c r="H87" s="123">
        <f t="shared" si="11"/>
        <v>0.33264572038686002</v>
      </c>
      <c r="I87" s="122">
        <v>120954</v>
      </c>
      <c r="J87" s="123">
        <f t="shared" si="11"/>
        <v>-5.9155718386110667E-2</v>
      </c>
      <c r="K87" s="122">
        <v>133909</v>
      </c>
      <c r="L87" s="123">
        <f t="shared" si="11"/>
        <v>0.10710683400300947</v>
      </c>
      <c r="M87" s="122">
        <v>74048</v>
      </c>
      <c r="N87" s="123">
        <v>0.20817765014929268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4"/>
      <c r="K90" s="124"/>
      <c r="N90" s="81"/>
    </row>
    <row r="92" spans="1:15" ht="48.75" customHeight="1" thickBot="1" x14ac:dyDescent="0.3">
      <c r="B92" s="278" t="s">
        <v>274</v>
      </c>
      <c r="C92" s="278"/>
      <c r="D92" s="278"/>
      <c r="E92" s="278"/>
      <c r="F92" s="278"/>
      <c r="G92" s="278"/>
      <c r="H92" s="278"/>
      <c r="I92" s="278"/>
      <c r="J92" s="278"/>
      <c r="K92" s="278"/>
      <c r="L92" s="278"/>
      <c r="M92" s="278"/>
      <c r="N92" s="278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5" t="s">
        <v>108</v>
      </c>
      <c r="C94" s="303" t="s">
        <v>109</v>
      </c>
      <c r="D94" s="304"/>
      <c r="E94" s="304"/>
      <c r="F94" s="304"/>
      <c r="G94" s="304"/>
      <c r="H94" s="304"/>
      <c r="I94" s="304"/>
      <c r="J94" s="304"/>
      <c r="K94" s="304"/>
      <c r="L94" s="304"/>
      <c r="M94" s="304"/>
      <c r="N94" s="304"/>
    </row>
    <row r="95" spans="1:15" ht="22.5" thickTop="1" thickBot="1" x14ac:dyDescent="0.3">
      <c r="B95" s="111"/>
      <c r="C95" s="305">
        <f>$C$7</f>
        <v>2020</v>
      </c>
      <c r="D95" s="306"/>
      <c r="E95" s="307">
        <f>$E$7</f>
        <v>2021</v>
      </c>
      <c r="F95" s="306"/>
      <c r="G95" s="307">
        <f>$G$7</f>
        <v>2022</v>
      </c>
      <c r="H95" s="306"/>
      <c r="I95" s="307">
        <f>$I$7</f>
        <v>2023</v>
      </c>
      <c r="J95" s="306"/>
      <c r="K95" s="307">
        <f>$K$7</f>
        <v>2024</v>
      </c>
      <c r="L95" s="306"/>
      <c r="M95" s="307">
        <f>$M$7</f>
        <v>2025</v>
      </c>
      <c r="N95" s="308"/>
    </row>
    <row r="96" spans="1:15" ht="16.5" thickTop="1" thickBot="1" x14ac:dyDescent="0.3">
      <c r="B96" s="87"/>
      <c r="C96" s="115" t="s">
        <v>71</v>
      </c>
      <c r="D96" s="116" t="str">
        <f>CONCATENATE("var. ",RIGHT(C95,2),"/",RIGHT(C95-1,2))</f>
        <v>var. 20/19</v>
      </c>
      <c r="E96" s="117" t="s">
        <v>71</v>
      </c>
      <c r="F96" s="116" t="s">
        <v>248</v>
      </c>
      <c r="G96" s="117" t="s">
        <v>71</v>
      </c>
      <c r="H96" s="116" t="s">
        <v>248</v>
      </c>
      <c r="I96" s="117" t="s">
        <v>71</v>
      </c>
      <c r="J96" s="116" t="s">
        <v>248</v>
      </c>
      <c r="K96" s="117" t="s">
        <v>71</v>
      </c>
      <c r="L96" s="116" t="s">
        <v>248</v>
      </c>
      <c r="M96" s="117" t="s">
        <v>71</v>
      </c>
      <c r="N96" s="116" t="s">
        <v>271</v>
      </c>
    </row>
    <row r="97" spans="2:14" x14ac:dyDescent="0.25">
      <c r="B97" s="118" t="s">
        <v>73</v>
      </c>
      <c r="C97" s="119">
        <v>28069</v>
      </c>
      <c r="D97" s="120">
        <v>-0.1078443837009726</v>
      </c>
      <c r="E97" s="119">
        <v>4441</v>
      </c>
      <c r="F97" s="120">
        <f t="shared" ref="F97:L109" si="12">IFERROR(E97/C97-1,"-")</f>
        <v>-0.84178274965264177</v>
      </c>
      <c r="G97" s="119">
        <v>25050</v>
      </c>
      <c r="H97" s="120">
        <f t="shared" si="12"/>
        <v>4.6406214816482771</v>
      </c>
      <c r="I97" s="119">
        <v>37942</v>
      </c>
      <c r="J97" s="120">
        <f t="shared" si="12"/>
        <v>0.51465069860279433</v>
      </c>
      <c r="K97" s="119">
        <v>37470</v>
      </c>
      <c r="L97" s="120">
        <f t="shared" si="12"/>
        <v>-1.2440040061145963E-2</v>
      </c>
      <c r="M97" s="119">
        <v>33957</v>
      </c>
      <c r="N97" s="120">
        <f t="shared" ref="N97:N102" si="13">IFERROR(M97/K97-1,"-")</f>
        <v>-9.375500400320258E-2</v>
      </c>
    </row>
    <row r="98" spans="2:14" x14ac:dyDescent="0.25">
      <c r="B98" s="118" t="s">
        <v>75</v>
      </c>
      <c r="C98" s="119">
        <v>28475</v>
      </c>
      <c r="D98" s="120">
        <v>-3.1158101106287805E-3</v>
      </c>
      <c r="E98" s="119">
        <v>5762</v>
      </c>
      <c r="F98" s="120">
        <f t="shared" si="12"/>
        <v>-0.79764705882352938</v>
      </c>
      <c r="G98" s="119">
        <v>23883</v>
      </c>
      <c r="H98" s="120">
        <f t="shared" si="12"/>
        <v>3.1449149600833044</v>
      </c>
      <c r="I98" s="119">
        <v>28543</v>
      </c>
      <c r="J98" s="120">
        <f t="shared" si="12"/>
        <v>0.19511786626470706</v>
      </c>
      <c r="K98" s="119">
        <v>31515</v>
      </c>
      <c r="L98" s="120">
        <f t="shared" si="12"/>
        <v>0.10412360298497014</v>
      </c>
      <c r="M98" s="119">
        <v>28806</v>
      </c>
      <c r="N98" s="120">
        <f t="shared" si="13"/>
        <v>-8.5959067110899623E-2</v>
      </c>
    </row>
    <row r="99" spans="2:14" x14ac:dyDescent="0.25">
      <c r="B99" s="118" t="s">
        <v>77</v>
      </c>
      <c r="C99" s="119">
        <v>10752</v>
      </c>
      <c r="D99" s="120">
        <v>-0.6334878647395692</v>
      </c>
      <c r="E99" s="119">
        <v>10040</v>
      </c>
      <c r="F99" s="120">
        <f t="shared" si="12"/>
        <v>-6.6220238095238138E-2</v>
      </c>
      <c r="G99" s="119">
        <v>24877</v>
      </c>
      <c r="H99" s="120">
        <f t="shared" si="12"/>
        <v>1.4777888446215139</v>
      </c>
      <c r="I99" s="119">
        <v>28208</v>
      </c>
      <c r="J99" s="120">
        <f t="shared" si="12"/>
        <v>0.13389878200747685</v>
      </c>
      <c r="K99" s="119">
        <v>32985</v>
      </c>
      <c r="L99" s="120">
        <f t="shared" si="12"/>
        <v>0.16934912081678966</v>
      </c>
      <c r="M99" s="119">
        <v>25810</v>
      </c>
      <c r="N99" s="120">
        <f t="shared" si="13"/>
        <v>-0.21752311656813705</v>
      </c>
    </row>
    <row r="100" spans="2:14" x14ac:dyDescent="0.25">
      <c r="B100" s="118" t="s">
        <v>79</v>
      </c>
      <c r="C100" s="119">
        <v>0</v>
      </c>
      <c r="D100" s="120">
        <v>-1</v>
      </c>
      <c r="E100" s="119">
        <v>8007</v>
      </c>
      <c r="F100" s="120" t="str">
        <f t="shared" si="12"/>
        <v>-</v>
      </c>
      <c r="G100" s="119">
        <v>21470</v>
      </c>
      <c r="H100" s="120">
        <f t="shared" si="12"/>
        <v>1.6814037716997627</v>
      </c>
      <c r="I100" s="119">
        <v>17602</v>
      </c>
      <c r="J100" s="120">
        <f t="shared" si="12"/>
        <v>-0.18015836050302747</v>
      </c>
      <c r="K100" s="119">
        <v>23357</v>
      </c>
      <c r="L100" s="120">
        <f t="shared" si="12"/>
        <v>0.32695148278604713</v>
      </c>
      <c r="M100" s="119">
        <v>20287</v>
      </c>
      <c r="N100" s="120">
        <f t="shared" si="13"/>
        <v>-0.13143811277133188</v>
      </c>
    </row>
    <row r="101" spans="2:14" x14ac:dyDescent="0.25">
      <c r="B101" s="118" t="s">
        <v>81</v>
      </c>
      <c r="C101" s="119">
        <v>0</v>
      </c>
      <c r="D101" s="120">
        <v>-1</v>
      </c>
      <c r="E101" s="119">
        <v>8679</v>
      </c>
      <c r="F101" s="120" t="str">
        <f t="shared" si="12"/>
        <v>-</v>
      </c>
      <c r="G101" s="119">
        <v>18584</v>
      </c>
      <c r="H101" s="120">
        <f t="shared" si="12"/>
        <v>1.1412605138840881</v>
      </c>
      <c r="I101" s="119">
        <v>14402</v>
      </c>
      <c r="J101" s="120">
        <f t="shared" si="12"/>
        <v>-0.22503228583727941</v>
      </c>
      <c r="K101" s="119">
        <v>13575</v>
      </c>
      <c r="L101" s="120">
        <f t="shared" si="12"/>
        <v>-5.7422580197194817E-2</v>
      </c>
      <c r="M101" s="119">
        <v>14771</v>
      </c>
      <c r="N101" s="120">
        <f t="shared" si="13"/>
        <v>8.8103130755064374E-2</v>
      </c>
    </row>
    <row r="102" spans="2:14" x14ac:dyDescent="0.25">
      <c r="B102" s="118" t="s">
        <v>83</v>
      </c>
      <c r="C102" s="119">
        <v>0</v>
      </c>
      <c r="D102" s="120">
        <v>-1</v>
      </c>
      <c r="E102" s="119">
        <v>8348</v>
      </c>
      <c r="F102" s="120" t="str">
        <f t="shared" si="12"/>
        <v>-</v>
      </c>
      <c r="G102" s="119">
        <v>16166</v>
      </c>
      <c r="H102" s="120">
        <f t="shared" si="12"/>
        <v>0.93651173933876386</v>
      </c>
      <c r="I102" s="119">
        <v>12768</v>
      </c>
      <c r="J102" s="120">
        <f t="shared" si="12"/>
        <v>-0.21019423481380672</v>
      </c>
      <c r="K102" s="119">
        <v>11859</v>
      </c>
      <c r="L102" s="120">
        <f t="shared" si="12"/>
        <v>-7.1193609022556337E-2</v>
      </c>
      <c r="M102" s="119">
        <v>11347</v>
      </c>
      <c r="N102" s="120">
        <f t="shared" si="13"/>
        <v>-4.3173960704949832E-2</v>
      </c>
    </row>
    <row r="103" spans="2:14" x14ac:dyDescent="0.25">
      <c r="B103" s="118" t="s">
        <v>85</v>
      </c>
      <c r="C103" s="119">
        <v>0</v>
      </c>
      <c r="D103" s="120">
        <v>-1</v>
      </c>
      <c r="E103" s="119">
        <v>10677</v>
      </c>
      <c r="F103" s="120" t="str">
        <f t="shared" si="12"/>
        <v>-</v>
      </c>
      <c r="G103" s="119">
        <v>17702</v>
      </c>
      <c r="H103" s="120">
        <f t="shared" si="12"/>
        <v>0.65795635478130565</v>
      </c>
      <c r="I103" s="119">
        <v>15329</v>
      </c>
      <c r="J103" s="120">
        <f t="shared" si="12"/>
        <v>-0.13405264941814488</v>
      </c>
      <c r="K103" s="119">
        <v>15153</v>
      </c>
      <c r="L103" s="120">
        <f t="shared" si="12"/>
        <v>-1.148150564289907E-2</v>
      </c>
      <c r="M103" s="119"/>
      <c r="N103" s="120"/>
    </row>
    <row r="104" spans="2:14" x14ac:dyDescent="0.25">
      <c r="B104" s="118" t="s">
        <v>87</v>
      </c>
      <c r="C104" s="119">
        <v>5572</v>
      </c>
      <c r="D104" s="120">
        <v>-0.70543455275956868</v>
      </c>
      <c r="E104" s="119">
        <v>14093</v>
      </c>
      <c r="F104" s="120">
        <f t="shared" si="12"/>
        <v>1.5292534099066764</v>
      </c>
      <c r="G104" s="119">
        <v>20739</v>
      </c>
      <c r="H104" s="120">
        <f t="shared" si="12"/>
        <v>0.47158163627332716</v>
      </c>
      <c r="I104" s="119">
        <v>21205</v>
      </c>
      <c r="J104" s="120">
        <f t="shared" si="12"/>
        <v>2.2469742996287234E-2</v>
      </c>
      <c r="K104" s="119">
        <v>20897</v>
      </c>
      <c r="L104" s="120">
        <f t="shared" si="12"/>
        <v>-1.4524876208441451E-2</v>
      </c>
      <c r="M104" s="119"/>
      <c r="N104" s="120"/>
    </row>
    <row r="105" spans="2:14" x14ac:dyDescent="0.25">
      <c r="B105" s="118" t="s">
        <v>89</v>
      </c>
      <c r="C105" s="119">
        <v>4557</v>
      </c>
      <c r="D105" s="120">
        <v>-0.75163505559189014</v>
      </c>
      <c r="E105" s="119">
        <v>13635</v>
      </c>
      <c r="F105" s="120">
        <f t="shared" si="12"/>
        <v>1.9921000658327848</v>
      </c>
      <c r="G105" s="119">
        <v>17676</v>
      </c>
      <c r="H105" s="120">
        <f t="shared" si="12"/>
        <v>0.29636963696369634</v>
      </c>
      <c r="I105" s="119">
        <v>17064</v>
      </c>
      <c r="J105" s="120">
        <f t="shared" si="12"/>
        <v>-3.4623217922606919E-2</v>
      </c>
      <c r="K105" s="119">
        <v>16062</v>
      </c>
      <c r="L105" s="120">
        <f t="shared" si="12"/>
        <v>-5.8720112517580914E-2</v>
      </c>
      <c r="M105" s="119"/>
      <c r="N105" s="120"/>
    </row>
    <row r="106" spans="2:14" x14ac:dyDescent="0.25">
      <c r="B106" s="118" t="s">
        <v>91</v>
      </c>
      <c r="C106" s="119">
        <v>5146</v>
      </c>
      <c r="D106" s="120">
        <v>-0.74004849464538291</v>
      </c>
      <c r="E106" s="119">
        <v>18771</v>
      </c>
      <c r="F106" s="120">
        <f t="shared" si="12"/>
        <v>2.6476875242907112</v>
      </c>
      <c r="G106" s="119">
        <v>22032</v>
      </c>
      <c r="H106" s="120">
        <f t="shared" si="12"/>
        <v>0.17372542752117637</v>
      </c>
      <c r="I106" s="119">
        <v>20857</v>
      </c>
      <c r="J106" s="120">
        <f t="shared" si="12"/>
        <v>-5.3331517792302052E-2</v>
      </c>
      <c r="K106" s="119">
        <v>18778</v>
      </c>
      <c r="L106" s="120">
        <f t="shared" si="12"/>
        <v>-9.9678764923047392E-2</v>
      </c>
      <c r="M106" s="119"/>
      <c r="N106" s="120"/>
    </row>
    <row r="107" spans="2:14" x14ac:dyDescent="0.25">
      <c r="B107" s="118" t="s">
        <v>93</v>
      </c>
      <c r="C107" s="119">
        <v>5365</v>
      </c>
      <c r="D107" s="120">
        <v>-0.79001956947162433</v>
      </c>
      <c r="E107" s="119">
        <v>24682</v>
      </c>
      <c r="F107" s="120">
        <f t="shared" si="12"/>
        <v>3.6005591798695251</v>
      </c>
      <c r="G107" s="119">
        <v>30180</v>
      </c>
      <c r="H107" s="120">
        <f t="shared" si="12"/>
        <v>0.22275342354752459</v>
      </c>
      <c r="I107" s="119">
        <v>29246</v>
      </c>
      <c r="J107" s="120">
        <f t="shared" si="12"/>
        <v>-3.0947647448641535E-2</v>
      </c>
      <c r="K107" s="119">
        <v>24055</v>
      </c>
      <c r="L107" s="120">
        <f t="shared" si="12"/>
        <v>-0.1774943582028311</v>
      </c>
      <c r="M107" s="119"/>
      <c r="N107" s="120"/>
    </row>
    <row r="108" spans="2:14" x14ac:dyDescent="0.25">
      <c r="B108" s="118" t="s">
        <v>95</v>
      </c>
      <c r="C108" s="119">
        <v>5717</v>
      </c>
      <c r="D108" s="120">
        <v>-0.79878220470223849</v>
      </c>
      <c r="E108" s="119">
        <v>25403</v>
      </c>
      <c r="F108" s="120">
        <f t="shared" si="12"/>
        <v>3.4434143781703694</v>
      </c>
      <c r="G108" s="119">
        <v>33196</v>
      </c>
      <c r="H108" s="120">
        <f t="shared" si="12"/>
        <v>0.30677479037908917</v>
      </c>
      <c r="I108" s="119">
        <v>30946</v>
      </c>
      <c r="J108" s="120">
        <f t="shared" si="12"/>
        <v>-6.7779250512109868E-2</v>
      </c>
      <c r="K108" s="119">
        <v>30168</v>
      </c>
      <c r="L108" s="120">
        <f t="shared" si="12"/>
        <v>-2.5140567440056882E-2</v>
      </c>
      <c r="M108" s="119"/>
      <c r="N108" s="120"/>
    </row>
    <row r="109" spans="2:14" ht="15.75" x14ac:dyDescent="0.25">
      <c r="B109" s="121" t="s">
        <v>32</v>
      </c>
      <c r="C109" s="122">
        <v>100111</v>
      </c>
      <c r="D109" s="123">
        <v>-0.62649190945755873</v>
      </c>
      <c r="E109" s="122">
        <v>152538</v>
      </c>
      <c r="F109" s="123">
        <f t="shared" si="12"/>
        <v>0.52368870553685398</v>
      </c>
      <c r="G109" s="122">
        <v>271555</v>
      </c>
      <c r="H109" s="123">
        <f t="shared" si="12"/>
        <v>0.78024492257666944</v>
      </c>
      <c r="I109" s="122">
        <v>274112</v>
      </c>
      <c r="J109" s="123">
        <f t="shared" si="12"/>
        <v>9.4161403767192287E-3</v>
      </c>
      <c r="K109" s="122">
        <v>275874</v>
      </c>
      <c r="L109" s="123">
        <f t="shared" si="12"/>
        <v>6.4280294186318532E-3</v>
      </c>
      <c r="M109" s="122">
        <v>134978</v>
      </c>
      <c r="N109" s="123">
        <v>-0.10468887842346497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4"/>
      <c r="K112" s="124"/>
      <c r="N112" s="81"/>
    </row>
    <row r="114" spans="1:15" ht="48.75" customHeight="1" thickBot="1" x14ac:dyDescent="0.3">
      <c r="B114" s="278" t="s">
        <v>275</v>
      </c>
      <c r="C114" s="278"/>
      <c r="D114" s="278"/>
      <c r="E114" s="278"/>
      <c r="F114" s="278"/>
      <c r="G114" s="278"/>
      <c r="H114" s="278"/>
      <c r="I114" s="278"/>
      <c r="J114" s="278"/>
      <c r="K114" s="278"/>
      <c r="L114" s="278"/>
      <c r="M114" s="278"/>
      <c r="N114" s="278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5" t="str">
        <f>C116</f>
        <v>Reino Unido</v>
      </c>
      <c r="C116" s="303" t="s">
        <v>112</v>
      </c>
      <c r="D116" s="304"/>
      <c r="E116" s="304"/>
      <c r="F116" s="304"/>
      <c r="G116" s="304"/>
      <c r="H116" s="304"/>
      <c r="I116" s="304"/>
      <c r="J116" s="304"/>
      <c r="K116" s="304"/>
      <c r="L116" s="304"/>
      <c r="M116" s="304"/>
      <c r="N116" s="304"/>
    </row>
    <row r="117" spans="1:15" ht="22.5" thickTop="1" thickBot="1" x14ac:dyDescent="0.3">
      <c r="B117" s="111"/>
      <c r="C117" s="305">
        <f>$C$7</f>
        <v>2020</v>
      </c>
      <c r="D117" s="306"/>
      <c r="E117" s="307">
        <f>$E$7</f>
        <v>2021</v>
      </c>
      <c r="F117" s="306"/>
      <c r="G117" s="307">
        <f>$G$7</f>
        <v>2022</v>
      </c>
      <c r="H117" s="306"/>
      <c r="I117" s="307">
        <f>$I$7</f>
        <v>2023</v>
      </c>
      <c r="J117" s="306"/>
      <c r="K117" s="307">
        <f>$K$7</f>
        <v>2024</v>
      </c>
      <c r="L117" s="306"/>
      <c r="M117" s="307">
        <f>$M$7</f>
        <v>2025</v>
      </c>
      <c r="N117" s="308"/>
    </row>
    <row r="118" spans="1:15" ht="16.5" thickTop="1" thickBot="1" x14ac:dyDescent="0.3">
      <c r="B118" s="87"/>
      <c r="C118" s="115" t="s">
        <v>71</v>
      </c>
      <c r="D118" s="116" t="str">
        <f>CONCATENATE("var. ",RIGHT(C117,2),"/",RIGHT(C117-1,2))</f>
        <v>var. 20/19</v>
      </c>
      <c r="E118" s="117" t="s">
        <v>71</v>
      </c>
      <c r="F118" s="116" t="s">
        <v>248</v>
      </c>
      <c r="G118" s="117" t="s">
        <v>71</v>
      </c>
      <c r="H118" s="116" t="s">
        <v>248</v>
      </c>
      <c r="I118" s="117" t="s">
        <v>71</v>
      </c>
      <c r="J118" s="116" t="s">
        <v>248</v>
      </c>
      <c r="K118" s="117" t="s">
        <v>71</v>
      </c>
      <c r="L118" s="116" t="s">
        <v>248</v>
      </c>
      <c r="M118" s="117" t="s">
        <v>71</v>
      </c>
      <c r="N118" s="116" t="s">
        <v>271</v>
      </c>
    </row>
    <row r="119" spans="1:15" x14ac:dyDescent="0.25">
      <c r="B119" s="118" t="s">
        <v>73</v>
      </c>
      <c r="C119" s="119">
        <v>4037</v>
      </c>
      <c r="D119" s="120">
        <v>-2.2518159806295346E-2</v>
      </c>
      <c r="E119" s="119">
        <v>105</v>
      </c>
      <c r="F119" s="120">
        <f t="shared" ref="F119:L131" si="14">IFERROR(E119/C119-1,"-")</f>
        <v>-0.97399058706960617</v>
      </c>
      <c r="G119" s="119">
        <v>3433</v>
      </c>
      <c r="H119" s="120">
        <f t="shared" si="14"/>
        <v>31.695238095238096</v>
      </c>
      <c r="I119" s="119">
        <v>5079</v>
      </c>
      <c r="J119" s="120">
        <f t="shared" si="14"/>
        <v>0.47946402563355672</v>
      </c>
      <c r="K119" s="119">
        <v>5741</v>
      </c>
      <c r="L119" s="120">
        <f t="shared" si="14"/>
        <v>0.13034061823193532</v>
      </c>
      <c r="M119" s="119">
        <v>5027</v>
      </c>
      <c r="N119" s="120">
        <f t="shared" ref="N119:N124" si="15">IFERROR(M119/K119-1,"-")</f>
        <v>-0.12436857690297853</v>
      </c>
    </row>
    <row r="120" spans="1:15" x14ac:dyDescent="0.25">
      <c r="B120" s="118" t="s">
        <v>75</v>
      </c>
      <c r="C120" s="119">
        <v>3425</v>
      </c>
      <c r="D120" s="120">
        <v>-0.18335717691940867</v>
      </c>
      <c r="E120" s="119">
        <v>159</v>
      </c>
      <c r="F120" s="120">
        <f t="shared" si="14"/>
        <v>-0.95357664233576644</v>
      </c>
      <c r="G120" s="119">
        <v>3574</v>
      </c>
      <c r="H120" s="120">
        <f t="shared" si="14"/>
        <v>21.477987421383649</v>
      </c>
      <c r="I120" s="119">
        <v>3403</v>
      </c>
      <c r="J120" s="120">
        <f t="shared" si="14"/>
        <v>-4.7845551203133718E-2</v>
      </c>
      <c r="K120" s="119">
        <v>4850</v>
      </c>
      <c r="L120" s="120">
        <f t="shared" si="14"/>
        <v>0.42521304731119591</v>
      </c>
      <c r="M120" s="119">
        <v>3993</v>
      </c>
      <c r="N120" s="120">
        <f t="shared" si="15"/>
        <v>-0.17670103092783507</v>
      </c>
    </row>
    <row r="121" spans="1:15" x14ac:dyDescent="0.25">
      <c r="B121" s="118" t="s">
        <v>77</v>
      </c>
      <c r="C121" s="119">
        <v>1454</v>
      </c>
      <c r="D121" s="120">
        <v>-0.63161895110210287</v>
      </c>
      <c r="E121" s="119">
        <v>623</v>
      </c>
      <c r="F121" s="120">
        <f t="shared" si="14"/>
        <v>-0.57152682255845944</v>
      </c>
      <c r="G121" s="119">
        <v>3753</v>
      </c>
      <c r="H121" s="120">
        <f t="shared" si="14"/>
        <v>5.0240770465489568</v>
      </c>
      <c r="I121" s="119">
        <v>3286</v>
      </c>
      <c r="J121" s="120">
        <f t="shared" si="14"/>
        <v>-0.12443378630428992</v>
      </c>
      <c r="K121" s="119">
        <v>4425</v>
      </c>
      <c r="L121" s="120">
        <f t="shared" si="14"/>
        <v>0.34662203286670734</v>
      </c>
      <c r="M121" s="119">
        <v>2634</v>
      </c>
      <c r="N121" s="120">
        <f t="shared" si="15"/>
        <v>-0.40474576271186435</v>
      </c>
    </row>
    <row r="122" spans="1:15" x14ac:dyDescent="0.25">
      <c r="B122" s="118" t="s">
        <v>79</v>
      </c>
      <c r="C122" s="119">
        <v>0</v>
      </c>
      <c r="D122" s="120">
        <v>-1</v>
      </c>
      <c r="E122" s="119">
        <v>255</v>
      </c>
      <c r="F122" s="120" t="str">
        <f t="shared" si="14"/>
        <v>-</v>
      </c>
      <c r="G122" s="119">
        <v>2500</v>
      </c>
      <c r="H122" s="120">
        <f t="shared" si="14"/>
        <v>8.8039215686274517</v>
      </c>
      <c r="I122" s="119">
        <v>2023</v>
      </c>
      <c r="J122" s="120">
        <f t="shared" si="14"/>
        <v>-0.19079999999999997</v>
      </c>
      <c r="K122" s="119">
        <v>3860</v>
      </c>
      <c r="L122" s="120">
        <f t="shared" si="14"/>
        <v>0.90805734058329213</v>
      </c>
      <c r="M122" s="119">
        <v>2256</v>
      </c>
      <c r="N122" s="120">
        <f t="shared" si="15"/>
        <v>-0.41554404145077717</v>
      </c>
    </row>
    <row r="123" spans="1:15" x14ac:dyDescent="0.25">
      <c r="B123" s="118" t="s">
        <v>81</v>
      </c>
      <c r="C123" s="119">
        <v>0</v>
      </c>
      <c r="D123" s="120">
        <v>-1</v>
      </c>
      <c r="E123" s="119">
        <v>352</v>
      </c>
      <c r="F123" s="120" t="str">
        <f t="shared" si="14"/>
        <v>-</v>
      </c>
      <c r="G123" s="119">
        <v>1644</v>
      </c>
      <c r="H123" s="120">
        <f t="shared" si="14"/>
        <v>3.6704545454545459</v>
      </c>
      <c r="I123" s="119">
        <v>1553</v>
      </c>
      <c r="J123" s="120">
        <f t="shared" si="14"/>
        <v>-5.5352798053527996E-2</v>
      </c>
      <c r="K123" s="119">
        <v>1323</v>
      </c>
      <c r="L123" s="120">
        <f t="shared" si="14"/>
        <v>-0.14810045074050227</v>
      </c>
      <c r="M123" s="119">
        <v>1409</v>
      </c>
      <c r="N123" s="120">
        <f t="shared" si="15"/>
        <v>6.5003779289493524E-2</v>
      </c>
    </row>
    <row r="124" spans="1:15" x14ac:dyDescent="0.25">
      <c r="B124" s="118" t="s">
        <v>83</v>
      </c>
      <c r="C124" s="119">
        <v>0</v>
      </c>
      <c r="D124" s="120">
        <v>-1</v>
      </c>
      <c r="E124" s="119">
        <v>363</v>
      </c>
      <c r="F124" s="120" t="str">
        <f t="shared" si="14"/>
        <v>-</v>
      </c>
      <c r="G124" s="119">
        <v>2004</v>
      </c>
      <c r="H124" s="120">
        <f t="shared" si="14"/>
        <v>4.5206611570247937</v>
      </c>
      <c r="I124" s="119">
        <v>1777</v>
      </c>
      <c r="J124" s="120">
        <f t="shared" si="14"/>
        <v>-0.11327345309381243</v>
      </c>
      <c r="K124" s="119">
        <v>1481</v>
      </c>
      <c r="L124" s="120">
        <f t="shared" si="14"/>
        <v>-0.16657287563308942</v>
      </c>
      <c r="M124" s="119">
        <v>1064</v>
      </c>
      <c r="N124" s="120">
        <f t="shared" si="15"/>
        <v>-0.28156650911546255</v>
      </c>
    </row>
    <row r="125" spans="1:15" x14ac:dyDescent="0.25">
      <c r="B125" s="118" t="s">
        <v>85</v>
      </c>
      <c r="C125" s="119">
        <v>0</v>
      </c>
      <c r="D125" s="120">
        <v>-1</v>
      </c>
      <c r="E125" s="119">
        <v>433</v>
      </c>
      <c r="F125" s="120" t="str">
        <f t="shared" si="14"/>
        <v>-</v>
      </c>
      <c r="G125" s="119">
        <v>2896</v>
      </c>
      <c r="H125" s="120">
        <f t="shared" si="14"/>
        <v>5.6882217090069283</v>
      </c>
      <c r="I125" s="119">
        <v>1965</v>
      </c>
      <c r="J125" s="120">
        <f t="shared" si="14"/>
        <v>-0.32147790055248615</v>
      </c>
      <c r="K125" s="119">
        <v>1886</v>
      </c>
      <c r="L125" s="120">
        <f t="shared" si="14"/>
        <v>-4.0203562340966892E-2</v>
      </c>
      <c r="M125" s="119"/>
      <c r="N125" s="120"/>
    </row>
    <row r="126" spans="1:15" x14ac:dyDescent="0.25">
      <c r="B126" s="118" t="s">
        <v>87</v>
      </c>
      <c r="C126" s="119">
        <v>231</v>
      </c>
      <c r="D126" s="120">
        <v>-0.89715048975957257</v>
      </c>
      <c r="E126" s="119">
        <v>874</v>
      </c>
      <c r="F126" s="120">
        <f t="shared" si="14"/>
        <v>2.7835497835497836</v>
      </c>
      <c r="G126" s="119">
        <v>2814</v>
      </c>
      <c r="H126" s="120">
        <f t="shared" si="14"/>
        <v>2.2196796338672771</v>
      </c>
      <c r="I126" s="119">
        <v>4366</v>
      </c>
      <c r="J126" s="120">
        <f t="shared" si="14"/>
        <v>0.55152807391613368</v>
      </c>
      <c r="K126" s="119">
        <v>2083</v>
      </c>
      <c r="L126" s="120">
        <f t="shared" si="14"/>
        <v>-0.52290426019239578</v>
      </c>
      <c r="M126" s="119"/>
      <c r="N126" s="120"/>
    </row>
    <row r="127" spans="1:15" x14ac:dyDescent="0.25">
      <c r="B127" s="118" t="s">
        <v>89</v>
      </c>
      <c r="C127" s="119">
        <v>271</v>
      </c>
      <c r="D127" s="120">
        <v>-0.87377736376339077</v>
      </c>
      <c r="E127" s="119">
        <v>1015</v>
      </c>
      <c r="F127" s="120">
        <f t="shared" si="14"/>
        <v>2.7453874538745389</v>
      </c>
      <c r="G127" s="119">
        <v>2245</v>
      </c>
      <c r="H127" s="120">
        <f t="shared" si="14"/>
        <v>1.2118226600985222</v>
      </c>
      <c r="I127" s="119">
        <v>4909</v>
      </c>
      <c r="J127" s="120">
        <f t="shared" si="14"/>
        <v>1.1866369710467706</v>
      </c>
      <c r="K127" s="119">
        <v>2363</v>
      </c>
      <c r="L127" s="120">
        <f t="shared" si="14"/>
        <v>-0.51863923405988999</v>
      </c>
      <c r="M127" s="119"/>
      <c r="N127" s="120"/>
    </row>
    <row r="128" spans="1:15" x14ac:dyDescent="0.25">
      <c r="A128" s="124"/>
      <c r="B128" s="118" t="s">
        <v>91</v>
      </c>
      <c r="C128" s="119">
        <v>273</v>
      </c>
      <c r="D128" s="120">
        <v>-0.86811594202898545</v>
      </c>
      <c r="E128" s="119">
        <v>2145</v>
      </c>
      <c r="F128" s="120">
        <f t="shared" si="14"/>
        <v>6.8571428571428568</v>
      </c>
      <c r="G128" s="119">
        <v>2166</v>
      </c>
      <c r="H128" s="120">
        <f t="shared" si="14"/>
        <v>9.7902097902098362E-3</v>
      </c>
      <c r="I128" s="119">
        <v>4936</v>
      </c>
      <c r="J128" s="120">
        <f t="shared" si="14"/>
        <v>1.2788550323176362</v>
      </c>
      <c r="K128" s="119">
        <v>1826</v>
      </c>
      <c r="L128" s="120">
        <f t="shared" si="14"/>
        <v>-0.63006482982171796</v>
      </c>
      <c r="M128" s="119"/>
      <c r="N128" s="120"/>
    </row>
    <row r="129" spans="2:15" x14ac:dyDescent="0.25">
      <c r="B129" s="118" t="s">
        <v>93</v>
      </c>
      <c r="C129" s="119">
        <v>586</v>
      </c>
      <c r="D129" s="120">
        <v>-0.8125399872040947</v>
      </c>
      <c r="E129" s="119">
        <v>2512</v>
      </c>
      <c r="F129" s="120">
        <f t="shared" si="14"/>
        <v>3.2866894197952217</v>
      </c>
      <c r="G129" s="119">
        <v>2705</v>
      </c>
      <c r="H129" s="120">
        <f t="shared" si="14"/>
        <v>7.6831210191082855E-2</v>
      </c>
      <c r="I129" s="119">
        <v>3283</v>
      </c>
      <c r="J129" s="120">
        <f t="shared" si="14"/>
        <v>0.21367837338262485</v>
      </c>
      <c r="K129" s="119">
        <v>2998</v>
      </c>
      <c r="L129" s="120">
        <f t="shared" si="14"/>
        <v>-8.6810843740481314E-2</v>
      </c>
      <c r="M129" s="119"/>
      <c r="N129" s="120"/>
    </row>
    <row r="130" spans="2:15" x14ac:dyDescent="0.25">
      <c r="B130" s="118" t="s">
        <v>95</v>
      </c>
      <c r="C130" s="119">
        <v>669</v>
      </c>
      <c r="D130" s="120">
        <v>-0.81421827270202718</v>
      </c>
      <c r="E130" s="119">
        <v>2281</v>
      </c>
      <c r="F130" s="120">
        <f t="shared" si="14"/>
        <v>2.4095665171898357</v>
      </c>
      <c r="G130" s="119">
        <v>3617</v>
      </c>
      <c r="H130" s="120">
        <f t="shared" si="14"/>
        <v>0.58570802279701883</v>
      </c>
      <c r="I130" s="119">
        <v>3687</v>
      </c>
      <c r="J130" s="120">
        <f t="shared" si="14"/>
        <v>1.9353055017970799E-2</v>
      </c>
      <c r="K130" s="119">
        <v>3685</v>
      </c>
      <c r="L130" s="120">
        <f t="shared" si="14"/>
        <v>-5.4244643341472276E-4</v>
      </c>
      <c r="M130" s="119"/>
      <c r="N130" s="120"/>
    </row>
    <row r="131" spans="2:15" ht="15.75" x14ac:dyDescent="0.25">
      <c r="B131" s="121" t="s">
        <v>32</v>
      </c>
      <c r="C131" s="122">
        <v>11431</v>
      </c>
      <c r="D131" s="123">
        <v>-0.65360606060606052</v>
      </c>
      <c r="E131" s="122">
        <v>11117</v>
      </c>
      <c r="F131" s="123">
        <f t="shared" si="14"/>
        <v>-2.7469162802904346E-2</v>
      </c>
      <c r="G131" s="122">
        <v>33351</v>
      </c>
      <c r="H131" s="123">
        <f t="shared" si="14"/>
        <v>2</v>
      </c>
      <c r="I131" s="122">
        <v>40267</v>
      </c>
      <c r="J131" s="123">
        <f t="shared" si="14"/>
        <v>0.2073700938502594</v>
      </c>
      <c r="K131" s="122">
        <v>36521</v>
      </c>
      <c r="L131" s="123">
        <f t="shared" si="14"/>
        <v>-9.3029031216628977E-2</v>
      </c>
      <c r="M131" s="122">
        <v>16383</v>
      </c>
      <c r="N131" s="123">
        <v>-0.24432656826568266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C134" s="124"/>
      <c r="K134" s="124"/>
      <c r="N134" s="81"/>
    </row>
    <row r="136" spans="2:15" ht="48.75" customHeight="1" thickBot="1" x14ac:dyDescent="0.3">
      <c r="B136" s="278" t="s">
        <v>276</v>
      </c>
      <c r="C136" s="278"/>
      <c r="D136" s="278"/>
      <c r="E136" s="278"/>
      <c r="F136" s="278"/>
      <c r="G136" s="278"/>
      <c r="H136" s="278"/>
      <c r="I136" s="278"/>
      <c r="J136" s="278"/>
      <c r="K136" s="278"/>
      <c r="L136" s="278"/>
      <c r="M136" s="278"/>
      <c r="N136" s="278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5" t="str">
        <f>C138</f>
        <v>Alemania</v>
      </c>
      <c r="C138" s="303" t="s">
        <v>115</v>
      </c>
      <c r="D138" s="304"/>
      <c r="E138" s="304"/>
      <c r="F138" s="304"/>
      <c r="G138" s="304"/>
      <c r="H138" s="304"/>
      <c r="I138" s="304"/>
      <c r="J138" s="304"/>
      <c r="K138" s="304"/>
      <c r="L138" s="304"/>
      <c r="M138" s="304"/>
      <c r="N138" s="304"/>
    </row>
    <row r="139" spans="2:15" ht="22.5" thickTop="1" thickBot="1" x14ac:dyDescent="0.3">
      <c r="B139" s="111"/>
      <c r="C139" s="305">
        <f>$C$7</f>
        <v>2020</v>
      </c>
      <c r="D139" s="306"/>
      <c r="E139" s="307">
        <f>$E$7</f>
        <v>2021</v>
      </c>
      <c r="F139" s="306"/>
      <c r="G139" s="307">
        <f>$G$7</f>
        <v>2022</v>
      </c>
      <c r="H139" s="306"/>
      <c r="I139" s="307">
        <f>$I$7</f>
        <v>2023</v>
      </c>
      <c r="J139" s="306"/>
      <c r="K139" s="307">
        <f>$K$7</f>
        <v>2024</v>
      </c>
      <c r="L139" s="306"/>
      <c r="M139" s="307">
        <f>$M$7</f>
        <v>2025</v>
      </c>
      <c r="N139" s="308"/>
    </row>
    <row r="140" spans="2:15" ht="16.5" thickTop="1" thickBot="1" x14ac:dyDescent="0.3">
      <c r="B140" s="87"/>
      <c r="C140" s="115" t="s">
        <v>71</v>
      </c>
      <c r="D140" s="116" t="str">
        <f>CONCATENATE("var. ",RIGHT(C139,2),"/",RIGHT(C139-1,2))</f>
        <v>var. 20/19</v>
      </c>
      <c r="E140" s="117" t="s">
        <v>71</v>
      </c>
      <c r="F140" s="116" t="s">
        <v>248</v>
      </c>
      <c r="G140" s="117" t="s">
        <v>71</v>
      </c>
      <c r="H140" s="116" t="s">
        <v>248</v>
      </c>
      <c r="I140" s="117" t="s">
        <v>71</v>
      </c>
      <c r="J140" s="116" t="s">
        <v>248</v>
      </c>
      <c r="K140" s="117" t="s">
        <v>71</v>
      </c>
      <c r="L140" s="116" t="s">
        <v>248</v>
      </c>
      <c r="M140" s="117" t="s">
        <v>71</v>
      </c>
      <c r="N140" s="116" t="s">
        <v>271</v>
      </c>
    </row>
    <row r="141" spans="2:15" x14ac:dyDescent="0.25">
      <c r="B141" s="118" t="s">
        <v>73</v>
      </c>
      <c r="C141" s="119">
        <v>4131</v>
      </c>
      <c r="D141" s="120">
        <v>-0.1395542595292647</v>
      </c>
      <c r="E141" s="119">
        <v>492</v>
      </c>
      <c r="F141" s="120">
        <f t="shared" ref="F141:L153" si="16">IFERROR(E141/C141-1,"-")</f>
        <v>-0.8809005083514887</v>
      </c>
      <c r="G141" s="119">
        <v>3311</v>
      </c>
      <c r="H141" s="120">
        <f t="shared" si="16"/>
        <v>5.7296747967479673</v>
      </c>
      <c r="I141" s="119">
        <v>6542</v>
      </c>
      <c r="J141" s="120">
        <f t="shared" si="16"/>
        <v>0.97583811537299914</v>
      </c>
      <c r="K141" s="119">
        <v>6067</v>
      </c>
      <c r="L141" s="120">
        <f t="shared" si="16"/>
        <v>-7.2607765209416031E-2</v>
      </c>
      <c r="M141" s="119">
        <v>6090</v>
      </c>
      <c r="N141" s="120">
        <f t="shared" ref="N141:N146" si="17">IFERROR(M141/K141-1,"-")</f>
        <v>3.791000494478336E-3</v>
      </c>
    </row>
    <row r="142" spans="2:15" x14ac:dyDescent="0.25">
      <c r="B142" s="118" t="s">
        <v>75</v>
      </c>
      <c r="C142" s="119">
        <v>3220</v>
      </c>
      <c r="D142" s="120">
        <v>-1.3480392156862697E-2</v>
      </c>
      <c r="E142" s="119">
        <v>621</v>
      </c>
      <c r="F142" s="120">
        <f t="shared" si="16"/>
        <v>-0.80714285714285716</v>
      </c>
      <c r="G142" s="119">
        <v>2826</v>
      </c>
      <c r="H142" s="120">
        <f t="shared" si="16"/>
        <v>3.5507246376811592</v>
      </c>
      <c r="I142" s="119">
        <v>4664</v>
      </c>
      <c r="J142" s="120">
        <f t="shared" si="16"/>
        <v>0.65038924274593057</v>
      </c>
      <c r="K142" s="119">
        <v>4561</v>
      </c>
      <c r="L142" s="120">
        <f t="shared" si="16"/>
        <v>-2.2084048027444236E-2</v>
      </c>
      <c r="M142" s="119">
        <v>4794</v>
      </c>
      <c r="N142" s="120">
        <f t="shared" si="17"/>
        <v>5.1085288313966304E-2</v>
      </c>
    </row>
    <row r="143" spans="2:15" x14ac:dyDescent="0.25">
      <c r="B143" s="118" t="s">
        <v>77</v>
      </c>
      <c r="C143" s="119">
        <v>1575</v>
      </c>
      <c r="D143" s="120">
        <v>-0.56322795341098164</v>
      </c>
      <c r="E143" s="119">
        <v>979</v>
      </c>
      <c r="F143" s="120">
        <f t="shared" si="16"/>
        <v>-0.37841269841269842</v>
      </c>
      <c r="G143" s="119">
        <v>3699</v>
      </c>
      <c r="H143" s="120">
        <f t="shared" si="16"/>
        <v>2.7783452502553625</v>
      </c>
      <c r="I143" s="119">
        <v>5403</v>
      </c>
      <c r="J143" s="120">
        <f t="shared" si="16"/>
        <v>0.46066504460665048</v>
      </c>
      <c r="K143" s="119">
        <v>5795</v>
      </c>
      <c r="L143" s="120">
        <f t="shared" si="16"/>
        <v>7.2552285767166325E-2</v>
      </c>
      <c r="M143" s="119">
        <v>4786</v>
      </c>
      <c r="N143" s="120">
        <f t="shared" si="17"/>
        <v>-0.17411561691113031</v>
      </c>
    </row>
    <row r="144" spans="2:15" x14ac:dyDescent="0.25">
      <c r="B144" s="118" t="s">
        <v>79</v>
      </c>
      <c r="C144" s="119">
        <v>0</v>
      </c>
      <c r="D144" s="120">
        <v>-1</v>
      </c>
      <c r="E144" s="119">
        <v>1047</v>
      </c>
      <c r="F144" s="120" t="str">
        <f t="shared" si="16"/>
        <v>-</v>
      </c>
      <c r="G144" s="119">
        <v>3126</v>
      </c>
      <c r="H144" s="120">
        <f t="shared" si="16"/>
        <v>1.9856733524355299</v>
      </c>
      <c r="I144" s="119">
        <v>3248</v>
      </c>
      <c r="J144" s="120">
        <f t="shared" si="16"/>
        <v>3.902751119641712E-2</v>
      </c>
      <c r="K144" s="119">
        <v>3013</v>
      </c>
      <c r="L144" s="120">
        <f t="shared" si="16"/>
        <v>-7.2352216748768461E-2</v>
      </c>
      <c r="M144" s="119">
        <v>3430</v>
      </c>
      <c r="N144" s="120">
        <f t="shared" si="17"/>
        <v>0.13840026551609697</v>
      </c>
    </row>
    <row r="145" spans="1:15" x14ac:dyDescent="0.25">
      <c r="B145" s="118" t="s">
        <v>81</v>
      </c>
      <c r="C145" s="119">
        <v>0</v>
      </c>
      <c r="D145" s="120">
        <v>-1</v>
      </c>
      <c r="E145" s="119">
        <v>704</v>
      </c>
      <c r="F145" s="120" t="str">
        <f t="shared" si="16"/>
        <v>-</v>
      </c>
      <c r="G145" s="119">
        <v>1982</v>
      </c>
      <c r="H145" s="120">
        <f t="shared" si="16"/>
        <v>1.8153409090909092</v>
      </c>
      <c r="I145" s="119">
        <v>1617</v>
      </c>
      <c r="J145" s="120">
        <f t="shared" si="16"/>
        <v>-0.18415741675075681</v>
      </c>
      <c r="K145" s="119">
        <v>1644</v>
      </c>
      <c r="L145" s="120">
        <f t="shared" si="16"/>
        <v>1.6697588126159513E-2</v>
      </c>
      <c r="M145" s="119">
        <v>1465</v>
      </c>
      <c r="N145" s="120">
        <f t="shared" si="17"/>
        <v>-0.10888077858880774</v>
      </c>
    </row>
    <row r="146" spans="1:15" x14ac:dyDescent="0.25">
      <c r="B146" s="118" t="s">
        <v>83</v>
      </c>
      <c r="C146" s="119">
        <v>0</v>
      </c>
      <c r="D146" s="120">
        <v>-1</v>
      </c>
      <c r="E146" s="119">
        <v>1002</v>
      </c>
      <c r="F146" s="120" t="str">
        <f t="shared" si="16"/>
        <v>-</v>
      </c>
      <c r="G146" s="119">
        <v>1123</v>
      </c>
      <c r="H146" s="120">
        <f t="shared" si="16"/>
        <v>0.12075848303393211</v>
      </c>
      <c r="I146" s="119">
        <v>1064</v>
      </c>
      <c r="J146" s="120">
        <f t="shared" si="16"/>
        <v>-5.2537845057880728E-2</v>
      </c>
      <c r="K146" s="119">
        <v>1312</v>
      </c>
      <c r="L146" s="120">
        <f t="shared" si="16"/>
        <v>0.23308270676691722</v>
      </c>
      <c r="M146" s="119">
        <v>1070</v>
      </c>
      <c r="N146" s="120">
        <f t="shared" si="17"/>
        <v>-0.18445121951219512</v>
      </c>
    </row>
    <row r="147" spans="1:15" x14ac:dyDescent="0.25">
      <c r="B147" s="118" t="s">
        <v>85</v>
      </c>
      <c r="C147" s="119">
        <v>0</v>
      </c>
      <c r="D147" s="120">
        <v>-1</v>
      </c>
      <c r="E147" s="119">
        <v>1279</v>
      </c>
      <c r="F147" s="120" t="str">
        <f t="shared" si="16"/>
        <v>-</v>
      </c>
      <c r="G147" s="119">
        <v>2041</v>
      </c>
      <c r="H147" s="120">
        <f t="shared" si="16"/>
        <v>0.59577795152462865</v>
      </c>
      <c r="I147" s="119">
        <v>1913</v>
      </c>
      <c r="J147" s="120">
        <f t="shared" si="16"/>
        <v>-6.2714355707986336E-2</v>
      </c>
      <c r="K147" s="119">
        <v>1547</v>
      </c>
      <c r="L147" s="120">
        <f t="shared" si="16"/>
        <v>-0.19132253005750133</v>
      </c>
      <c r="M147" s="119"/>
      <c r="N147" s="120"/>
    </row>
    <row r="148" spans="1:15" x14ac:dyDescent="0.25">
      <c r="B148" s="118" t="s">
        <v>87</v>
      </c>
      <c r="C148" s="119">
        <v>423</v>
      </c>
      <c r="D148" s="120">
        <v>-0.77818563188253798</v>
      </c>
      <c r="E148" s="119">
        <v>1631</v>
      </c>
      <c r="F148" s="120">
        <f t="shared" si="16"/>
        <v>2.855791962174941</v>
      </c>
      <c r="G148" s="119">
        <v>1858</v>
      </c>
      <c r="H148" s="120">
        <f t="shared" si="16"/>
        <v>0.13917841814837528</v>
      </c>
      <c r="I148" s="119">
        <v>2985</v>
      </c>
      <c r="J148" s="120">
        <f t="shared" si="16"/>
        <v>0.60656620021528518</v>
      </c>
      <c r="K148" s="119">
        <v>2860</v>
      </c>
      <c r="L148" s="120">
        <f t="shared" si="16"/>
        <v>-4.1876046901172526E-2</v>
      </c>
      <c r="M148" s="119"/>
      <c r="N148" s="120"/>
    </row>
    <row r="149" spans="1:15" x14ac:dyDescent="0.25">
      <c r="B149" s="118" t="s">
        <v>89</v>
      </c>
      <c r="C149" s="119">
        <v>265</v>
      </c>
      <c r="D149" s="120">
        <v>-0.82392026578073096</v>
      </c>
      <c r="E149" s="119">
        <v>1556</v>
      </c>
      <c r="F149" s="120">
        <f t="shared" si="16"/>
        <v>4.8716981132075468</v>
      </c>
      <c r="G149" s="119">
        <v>1872</v>
      </c>
      <c r="H149" s="120">
        <f t="shared" si="16"/>
        <v>0.20308483290488422</v>
      </c>
      <c r="I149" s="119">
        <v>2184</v>
      </c>
      <c r="J149" s="120">
        <f t="shared" si="16"/>
        <v>0.16666666666666674</v>
      </c>
      <c r="K149" s="119">
        <v>2212</v>
      </c>
      <c r="L149" s="120">
        <f t="shared" si="16"/>
        <v>1.2820512820512775E-2</v>
      </c>
      <c r="M149" s="119"/>
      <c r="N149" s="120"/>
    </row>
    <row r="150" spans="1:15" x14ac:dyDescent="0.25">
      <c r="A150" s="124"/>
      <c r="B150" s="118" t="s">
        <v>91</v>
      </c>
      <c r="C150" s="119">
        <v>260</v>
      </c>
      <c r="D150" s="120">
        <v>-0.8940936863543788</v>
      </c>
      <c r="E150" s="119">
        <v>3109</v>
      </c>
      <c r="F150" s="120">
        <f t="shared" si="16"/>
        <v>10.957692307692307</v>
      </c>
      <c r="G150" s="119">
        <v>2874</v>
      </c>
      <c r="H150" s="120">
        <f t="shared" si="16"/>
        <v>-7.5587005467996127E-2</v>
      </c>
      <c r="I150" s="119">
        <v>3162</v>
      </c>
      <c r="J150" s="120">
        <f t="shared" si="16"/>
        <v>0.10020876826722347</v>
      </c>
      <c r="K150" s="119">
        <v>3189</v>
      </c>
      <c r="L150" s="120">
        <f t="shared" si="16"/>
        <v>8.5388994307400434E-3</v>
      </c>
      <c r="M150" s="119"/>
      <c r="N150" s="120"/>
    </row>
    <row r="151" spans="1:15" x14ac:dyDescent="0.25">
      <c r="B151" s="118" t="s">
        <v>93</v>
      </c>
      <c r="C151" s="119">
        <v>688</v>
      </c>
      <c r="D151" s="120">
        <v>-0.80167195157105797</v>
      </c>
      <c r="E151" s="119">
        <v>4992</v>
      </c>
      <c r="F151" s="120">
        <f t="shared" si="16"/>
        <v>6.2558139534883717</v>
      </c>
      <c r="G151" s="119">
        <v>4788</v>
      </c>
      <c r="H151" s="120">
        <f t="shared" si="16"/>
        <v>-4.0865384615384581E-2</v>
      </c>
      <c r="I151" s="119">
        <v>4616</v>
      </c>
      <c r="J151" s="120">
        <f t="shared" si="16"/>
        <v>-3.5923141186299135E-2</v>
      </c>
      <c r="K151" s="119">
        <v>4412</v>
      </c>
      <c r="L151" s="120">
        <f t="shared" si="16"/>
        <v>-4.4194107452339648E-2</v>
      </c>
      <c r="M151" s="119"/>
      <c r="N151" s="120"/>
    </row>
    <row r="152" spans="1:15" x14ac:dyDescent="0.25">
      <c r="B152" s="118" t="s">
        <v>95</v>
      </c>
      <c r="C152" s="119">
        <v>611</v>
      </c>
      <c r="D152" s="120">
        <v>-0.83848797250859108</v>
      </c>
      <c r="E152" s="119">
        <v>6016</v>
      </c>
      <c r="F152" s="120">
        <f t="shared" si="16"/>
        <v>8.8461538461538467</v>
      </c>
      <c r="G152" s="119">
        <v>5291</v>
      </c>
      <c r="H152" s="120">
        <f t="shared" si="16"/>
        <v>-0.12051196808510634</v>
      </c>
      <c r="I152" s="119">
        <v>6047</v>
      </c>
      <c r="J152" s="120">
        <f t="shared" si="16"/>
        <v>0.14288414288414297</v>
      </c>
      <c r="K152" s="119">
        <v>5549</v>
      </c>
      <c r="L152" s="120">
        <f t="shared" si="16"/>
        <v>-8.2354886720687914E-2</v>
      </c>
      <c r="M152" s="119"/>
      <c r="N152" s="120"/>
    </row>
    <row r="153" spans="1:15" ht="15.75" x14ac:dyDescent="0.25">
      <c r="B153" s="121" t="s">
        <v>32</v>
      </c>
      <c r="C153" s="122">
        <v>11548</v>
      </c>
      <c r="D153" s="123">
        <v>-0.62585452778227768</v>
      </c>
      <c r="E153" s="122">
        <v>23428</v>
      </c>
      <c r="F153" s="123">
        <f t="shared" si="16"/>
        <v>1.028749567024593</v>
      </c>
      <c r="G153" s="122">
        <v>34791</v>
      </c>
      <c r="H153" s="123">
        <f t="shared" si="16"/>
        <v>0.48501792726651871</v>
      </c>
      <c r="I153" s="122">
        <v>43445</v>
      </c>
      <c r="J153" s="123">
        <f t="shared" si="16"/>
        <v>0.24874249087407674</v>
      </c>
      <c r="K153" s="122">
        <v>42161</v>
      </c>
      <c r="L153" s="123">
        <f t="shared" si="16"/>
        <v>-2.9554609276096211E-2</v>
      </c>
      <c r="M153" s="122">
        <v>21635</v>
      </c>
      <c r="N153" s="123">
        <v>-3.3806716684530169E-2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C156" s="124"/>
      <c r="K156" s="124"/>
      <c r="N156" s="81"/>
    </row>
    <row r="158" spans="1:15" ht="48.75" customHeight="1" thickBot="1" x14ac:dyDescent="0.3">
      <c r="B158" s="278" t="s">
        <v>277</v>
      </c>
      <c r="C158" s="278"/>
      <c r="D158" s="278"/>
      <c r="E158" s="278"/>
      <c r="F158" s="278"/>
      <c r="G158" s="278"/>
      <c r="H158" s="278"/>
      <c r="I158" s="278"/>
      <c r="J158" s="278"/>
      <c r="K158" s="278"/>
      <c r="L158" s="278"/>
      <c r="M158" s="278"/>
      <c r="N158" s="278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5" t="str">
        <f>C160</f>
        <v>Francia</v>
      </c>
      <c r="C160" s="303" t="s">
        <v>118</v>
      </c>
      <c r="D160" s="304"/>
      <c r="E160" s="304"/>
      <c r="F160" s="304"/>
      <c r="G160" s="304"/>
      <c r="H160" s="304"/>
      <c r="I160" s="304"/>
      <c r="J160" s="304"/>
      <c r="K160" s="304"/>
      <c r="L160" s="304"/>
      <c r="M160" s="304"/>
      <c r="N160" s="304"/>
    </row>
    <row r="161" spans="2:14" ht="22.5" thickTop="1" thickBot="1" x14ac:dyDescent="0.3">
      <c r="B161" s="111"/>
      <c r="C161" s="305">
        <f>$C$7</f>
        <v>2020</v>
      </c>
      <c r="D161" s="306"/>
      <c r="E161" s="307">
        <f>$E$7</f>
        <v>2021</v>
      </c>
      <c r="F161" s="306"/>
      <c r="G161" s="307">
        <f>$G$7</f>
        <v>2022</v>
      </c>
      <c r="H161" s="306"/>
      <c r="I161" s="307">
        <f>$I$7</f>
        <v>2023</v>
      </c>
      <c r="J161" s="306"/>
      <c r="K161" s="307">
        <f>$K$7</f>
        <v>2024</v>
      </c>
      <c r="L161" s="306"/>
      <c r="M161" s="307">
        <f>$M$7</f>
        <v>2025</v>
      </c>
      <c r="N161" s="308"/>
    </row>
    <row r="162" spans="2:14" ht="16.5" thickTop="1" thickBot="1" x14ac:dyDescent="0.3">
      <c r="B162" s="87"/>
      <c r="C162" s="115" t="s">
        <v>71</v>
      </c>
      <c r="D162" s="116" t="str">
        <f>CONCATENATE("var. ",RIGHT(C161,2),"/",RIGHT(C161-1,2))</f>
        <v>var. 20/19</v>
      </c>
      <c r="E162" s="117" t="s">
        <v>71</v>
      </c>
      <c r="F162" s="116" t="s">
        <v>248</v>
      </c>
      <c r="G162" s="117" t="s">
        <v>71</v>
      </c>
      <c r="H162" s="116" t="s">
        <v>248</v>
      </c>
      <c r="I162" s="117" t="s">
        <v>71</v>
      </c>
      <c r="J162" s="116" t="s">
        <v>248</v>
      </c>
      <c r="K162" s="117" t="s">
        <v>71</v>
      </c>
      <c r="L162" s="116" t="s">
        <v>248</v>
      </c>
      <c r="M162" s="117" t="s">
        <v>71</v>
      </c>
      <c r="N162" s="116" t="s">
        <v>271</v>
      </c>
    </row>
    <row r="163" spans="2:14" x14ac:dyDescent="0.25">
      <c r="B163" s="118" t="s">
        <v>73</v>
      </c>
      <c r="C163" s="119">
        <v>1856</v>
      </c>
      <c r="D163" s="120">
        <v>2.598120508568269E-2</v>
      </c>
      <c r="E163" s="119">
        <v>580</v>
      </c>
      <c r="F163" s="120">
        <f t="shared" ref="F163:L175" si="18">IFERROR(E163/C163-1,"-")</f>
        <v>-0.6875</v>
      </c>
      <c r="G163" s="119">
        <v>1697</v>
      </c>
      <c r="H163" s="120">
        <f t="shared" si="18"/>
        <v>1.9258620689655173</v>
      </c>
      <c r="I163" s="119">
        <v>3344</v>
      </c>
      <c r="J163" s="120">
        <f t="shared" si="18"/>
        <v>0.97053624042427811</v>
      </c>
      <c r="K163" s="119">
        <v>2895</v>
      </c>
      <c r="L163" s="120">
        <f t="shared" si="18"/>
        <v>-0.13427033492822971</v>
      </c>
      <c r="M163" s="119">
        <v>2278</v>
      </c>
      <c r="N163" s="120">
        <f t="shared" ref="N163:N168" si="19">IFERROR(M163/K163-1,"-")</f>
        <v>-0.21312607944732298</v>
      </c>
    </row>
    <row r="164" spans="2:14" x14ac:dyDescent="0.25">
      <c r="B164" s="118" t="s">
        <v>75</v>
      </c>
      <c r="C164" s="119">
        <v>2151</v>
      </c>
      <c r="D164" s="120">
        <v>-2.7576853526220635E-2</v>
      </c>
      <c r="E164" s="119">
        <v>656</v>
      </c>
      <c r="F164" s="120">
        <f t="shared" si="18"/>
        <v>-0.69502556950255689</v>
      </c>
      <c r="G164" s="119">
        <v>2208</v>
      </c>
      <c r="H164" s="120">
        <f t="shared" si="18"/>
        <v>2.3658536585365852</v>
      </c>
      <c r="I164" s="119">
        <v>2356</v>
      </c>
      <c r="J164" s="120">
        <f t="shared" si="18"/>
        <v>6.7028985507246341E-2</v>
      </c>
      <c r="K164" s="119">
        <v>2461</v>
      </c>
      <c r="L164" s="120">
        <f t="shared" si="18"/>
        <v>4.4567062818336112E-2</v>
      </c>
      <c r="M164" s="119">
        <v>2576</v>
      </c>
      <c r="N164" s="120">
        <f t="shared" si="19"/>
        <v>4.6728971962616717E-2</v>
      </c>
    </row>
    <row r="165" spans="2:14" x14ac:dyDescent="0.25">
      <c r="B165" s="118" t="s">
        <v>77</v>
      </c>
      <c r="C165" s="119">
        <v>911</v>
      </c>
      <c r="D165" s="120">
        <v>-0.44921402660217657</v>
      </c>
      <c r="E165" s="119">
        <v>1078</v>
      </c>
      <c r="F165" s="120">
        <f t="shared" si="18"/>
        <v>0.1833150384193194</v>
      </c>
      <c r="G165" s="119">
        <v>2855</v>
      </c>
      <c r="H165" s="120">
        <f t="shared" si="18"/>
        <v>1.6484230055658626</v>
      </c>
      <c r="I165" s="119">
        <v>2785</v>
      </c>
      <c r="J165" s="120">
        <f t="shared" si="18"/>
        <v>-2.4518388791593737E-2</v>
      </c>
      <c r="K165" s="119">
        <v>2820</v>
      </c>
      <c r="L165" s="120">
        <f t="shared" si="18"/>
        <v>1.2567324955116588E-2</v>
      </c>
      <c r="M165" s="119">
        <v>1872</v>
      </c>
      <c r="N165" s="120">
        <f t="shared" si="19"/>
        <v>-0.33617021276595749</v>
      </c>
    </row>
    <row r="166" spans="2:14" x14ac:dyDescent="0.25">
      <c r="B166" s="118" t="s">
        <v>79</v>
      </c>
      <c r="C166" s="119">
        <v>0</v>
      </c>
      <c r="D166" s="120">
        <v>-1</v>
      </c>
      <c r="E166" s="119">
        <v>1370</v>
      </c>
      <c r="F166" s="120" t="str">
        <f t="shared" si="18"/>
        <v>-</v>
      </c>
      <c r="G166" s="119">
        <v>1982</v>
      </c>
      <c r="H166" s="120">
        <f t="shared" si="18"/>
        <v>0.44671532846715323</v>
      </c>
      <c r="I166" s="119">
        <v>1759</v>
      </c>
      <c r="J166" s="120">
        <f t="shared" si="18"/>
        <v>-0.11251261352169528</v>
      </c>
      <c r="K166" s="119">
        <v>1879</v>
      </c>
      <c r="L166" s="120">
        <f t="shared" si="18"/>
        <v>6.8220579874928911E-2</v>
      </c>
      <c r="M166" s="119">
        <v>1696</v>
      </c>
      <c r="N166" s="120">
        <f t="shared" si="19"/>
        <v>-9.739222990952634E-2</v>
      </c>
    </row>
    <row r="167" spans="2:14" x14ac:dyDescent="0.25">
      <c r="B167" s="118" t="s">
        <v>81</v>
      </c>
      <c r="C167" s="119">
        <v>0</v>
      </c>
      <c r="D167" s="120">
        <v>-1</v>
      </c>
      <c r="E167" s="119">
        <v>2061</v>
      </c>
      <c r="F167" s="120" t="str">
        <f t="shared" si="18"/>
        <v>-</v>
      </c>
      <c r="G167" s="119">
        <v>1622</v>
      </c>
      <c r="H167" s="120">
        <f t="shared" si="18"/>
        <v>-0.21300339640950994</v>
      </c>
      <c r="I167" s="119">
        <v>2014</v>
      </c>
      <c r="J167" s="120">
        <f t="shared" si="18"/>
        <v>0.24167694204685564</v>
      </c>
      <c r="K167" s="119">
        <v>1952</v>
      </c>
      <c r="L167" s="120">
        <f t="shared" si="18"/>
        <v>-3.0784508440913627E-2</v>
      </c>
      <c r="M167" s="119">
        <v>1563</v>
      </c>
      <c r="N167" s="120">
        <f t="shared" si="19"/>
        <v>-0.19928278688524592</v>
      </c>
    </row>
    <row r="168" spans="2:14" x14ac:dyDescent="0.25">
      <c r="B168" s="118" t="s">
        <v>83</v>
      </c>
      <c r="C168" s="119">
        <v>0</v>
      </c>
      <c r="D168" s="120">
        <v>-1</v>
      </c>
      <c r="E168" s="119">
        <v>1029</v>
      </c>
      <c r="F168" s="120" t="str">
        <f t="shared" si="18"/>
        <v>-</v>
      </c>
      <c r="G168" s="119">
        <v>1049</v>
      </c>
      <c r="H168" s="120">
        <f t="shared" si="18"/>
        <v>1.9436345966958202E-2</v>
      </c>
      <c r="I168" s="119">
        <v>1678</v>
      </c>
      <c r="J168" s="120">
        <f t="shared" si="18"/>
        <v>0.59961868446139177</v>
      </c>
      <c r="K168" s="119">
        <v>905</v>
      </c>
      <c r="L168" s="120">
        <f t="shared" si="18"/>
        <v>-0.46066746126340885</v>
      </c>
      <c r="M168" s="119">
        <v>923</v>
      </c>
      <c r="N168" s="120">
        <f t="shared" si="19"/>
        <v>1.9889502762430844E-2</v>
      </c>
    </row>
    <row r="169" spans="2:14" x14ac:dyDescent="0.25">
      <c r="B169" s="118" t="s">
        <v>85</v>
      </c>
      <c r="C169" s="119">
        <v>0</v>
      </c>
      <c r="D169" s="120">
        <v>-1</v>
      </c>
      <c r="E169" s="119">
        <v>1461</v>
      </c>
      <c r="F169" s="120" t="str">
        <f t="shared" si="18"/>
        <v>-</v>
      </c>
      <c r="G169" s="119">
        <v>1231</v>
      </c>
      <c r="H169" s="120">
        <f t="shared" si="18"/>
        <v>-0.15742642026009579</v>
      </c>
      <c r="I169" s="119">
        <v>1543</v>
      </c>
      <c r="J169" s="120">
        <f t="shared" si="18"/>
        <v>0.25345247766043877</v>
      </c>
      <c r="K169" s="119">
        <v>1293</v>
      </c>
      <c r="L169" s="120">
        <f t="shared" si="18"/>
        <v>-0.1620220349967596</v>
      </c>
      <c r="M169" s="119"/>
      <c r="N169" s="120"/>
    </row>
    <row r="170" spans="2:14" x14ac:dyDescent="0.25">
      <c r="B170" s="118" t="s">
        <v>87</v>
      </c>
      <c r="C170" s="119">
        <v>432</v>
      </c>
      <c r="D170" s="120">
        <v>-0.80336822940373231</v>
      </c>
      <c r="E170" s="119">
        <v>2603</v>
      </c>
      <c r="F170" s="120">
        <f t="shared" si="18"/>
        <v>5.0254629629629628</v>
      </c>
      <c r="G170" s="119">
        <v>2883</v>
      </c>
      <c r="H170" s="120">
        <f t="shared" si="18"/>
        <v>0.10756819054936617</v>
      </c>
      <c r="I170" s="119">
        <v>3093</v>
      </c>
      <c r="J170" s="120">
        <f t="shared" si="18"/>
        <v>7.2840790842872094E-2</v>
      </c>
      <c r="K170" s="119">
        <v>3962</v>
      </c>
      <c r="L170" s="120">
        <f t="shared" si="18"/>
        <v>0.28095699967668919</v>
      </c>
      <c r="M170" s="119"/>
      <c r="N170" s="120"/>
    </row>
    <row r="171" spans="2:14" x14ac:dyDescent="0.25">
      <c r="B171" s="118" t="s">
        <v>89</v>
      </c>
      <c r="C171" s="119">
        <v>212</v>
      </c>
      <c r="D171" s="120">
        <v>-0.87536743092298652</v>
      </c>
      <c r="E171" s="119">
        <v>1484</v>
      </c>
      <c r="F171" s="120">
        <f t="shared" si="18"/>
        <v>6</v>
      </c>
      <c r="G171" s="119">
        <v>1536</v>
      </c>
      <c r="H171" s="120">
        <f t="shared" si="18"/>
        <v>3.5040431266846417E-2</v>
      </c>
      <c r="I171" s="119">
        <v>1358</v>
      </c>
      <c r="J171" s="120">
        <f t="shared" si="18"/>
        <v>-0.11588541666666663</v>
      </c>
      <c r="K171" s="119">
        <v>2078</v>
      </c>
      <c r="L171" s="120">
        <f t="shared" si="18"/>
        <v>0.53019145802650947</v>
      </c>
      <c r="M171" s="119"/>
      <c r="N171" s="120"/>
    </row>
    <row r="172" spans="2:14" x14ac:dyDescent="0.25">
      <c r="B172" s="118" t="s">
        <v>91</v>
      </c>
      <c r="C172" s="119">
        <v>349</v>
      </c>
      <c r="D172" s="120">
        <v>-0.79919447640966634</v>
      </c>
      <c r="E172" s="119">
        <v>1609</v>
      </c>
      <c r="F172" s="120">
        <f t="shared" si="18"/>
        <v>3.6103151862464182</v>
      </c>
      <c r="G172" s="119">
        <v>1751</v>
      </c>
      <c r="H172" s="120">
        <f t="shared" si="18"/>
        <v>8.8253573648228612E-2</v>
      </c>
      <c r="I172" s="119">
        <v>1685</v>
      </c>
      <c r="J172" s="120">
        <f t="shared" si="18"/>
        <v>-3.7692747001713323E-2</v>
      </c>
      <c r="K172" s="119">
        <v>1740</v>
      </c>
      <c r="L172" s="120">
        <f t="shared" si="18"/>
        <v>3.2640949554896048E-2</v>
      </c>
      <c r="M172" s="119"/>
      <c r="N172" s="120"/>
    </row>
    <row r="173" spans="2:14" x14ac:dyDescent="0.25">
      <c r="B173" s="118" t="s">
        <v>93</v>
      </c>
      <c r="C173" s="119">
        <v>204</v>
      </c>
      <c r="D173" s="120">
        <v>-0.88565022421524664</v>
      </c>
      <c r="E173" s="119">
        <v>2197</v>
      </c>
      <c r="F173" s="120">
        <f t="shared" si="18"/>
        <v>9.7696078431372548</v>
      </c>
      <c r="G173" s="119">
        <v>2465</v>
      </c>
      <c r="H173" s="120">
        <f t="shared" si="18"/>
        <v>0.12198452435138818</v>
      </c>
      <c r="I173" s="119">
        <v>2852</v>
      </c>
      <c r="J173" s="120">
        <f t="shared" si="18"/>
        <v>0.15699797160243412</v>
      </c>
      <c r="K173" s="119">
        <v>2022</v>
      </c>
      <c r="L173" s="120">
        <f t="shared" si="18"/>
        <v>-0.29102384291725103</v>
      </c>
      <c r="M173" s="119"/>
      <c r="N173" s="120"/>
    </row>
    <row r="174" spans="2:14" x14ac:dyDescent="0.25">
      <c r="B174" s="118" t="s">
        <v>95</v>
      </c>
      <c r="C174" s="119">
        <v>597</v>
      </c>
      <c r="D174" s="120">
        <v>-0.68857589984350542</v>
      </c>
      <c r="E174" s="119">
        <v>2122</v>
      </c>
      <c r="F174" s="120">
        <f t="shared" si="18"/>
        <v>2.5544388609715245</v>
      </c>
      <c r="G174" s="119">
        <v>2595</v>
      </c>
      <c r="H174" s="120">
        <f t="shared" si="18"/>
        <v>0.2229029217719134</v>
      </c>
      <c r="I174" s="119">
        <v>2270</v>
      </c>
      <c r="J174" s="120">
        <f t="shared" si="18"/>
        <v>-0.12524084778420042</v>
      </c>
      <c r="K174" s="119">
        <v>2368</v>
      </c>
      <c r="L174" s="120">
        <f t="shared" si="18"/>
        <v>4.3171806167400906E-2</v>
      </c>
      <c r="M174" s="119"/>
      <c r="N174" s="120"/>
    </row>
    <row r="175" spans="2:14" ht="15.75" x14ac:dyDescent="0.25">
      <c r="B175" s="121" t="s">
        <v>32</v>
      </c>
      <c r="C175" s="122">
        <v>7014</v>
      </c>
      <c r="D175" s="123">
        <v>-0.6546528803545052</v>
      </c>
      <c r="E175" s="122">
        <v>18250</v>
      </c>
      <c r="F175" s="123">
        <f t="shared" si="18"/>
        <v>1.6019389791844882</v>
      </c>
      <c r="G175" s="122">
        <v>23874</v>
      </c>
      <c r="H175" s="123">
        <f t="shared" si="18"/>
        <v>0.30816438356164388</v>
      </c>
      <c r="I175" s="122">
        <v>26737</v>
      </c>
      <c r="J175" s="123">
        <f t="shared" si="18"/>
        <v>0.11992125324620928</v>
      </c>
      <c r="K175" s="122">
        <v>26375</v>
      </c>
      <c r="L175" s="123">
        <f t="shared" si="18"/>
        <v>-1.3539290122302372E-2</v>
      </c>
      <c r="M175" s="122">
        <v>10908</v>
      </c>
      <c r="N175" s="123">
        <v>-0.15520446096654272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</row>
    <row r="178" spans="1:15" x14ac:dyDescent="0.25">
      <c r="C178" s="124"/>
      <c r="K178" s="124"/>
      <c r="N178" s="81"/>
    </row>
    <row r="180" spans="1:15" ht="48.75" customHeight="1" thickBot="1" x14ac:dyDescent="0.3">
      <c r="B180" s="278" t="s">
        <v>278</v>
      </c>
      <c r="C180" s="278"/>
      <c r="D180" s="278"/>
      <c r="E180" s="278"/>
      <c r="F180" s="278"/>
      <c r="G180" s="278"/>
      <c r="H180" s="278"/>
      <c r="I180" s="278"/>
      <c r="J180" s="278"/>
      <c r="K180" s="278"/>
      <c r="L180" s="278"/>
      <c r="M180" s="278"/>
      <c r="N180" s="278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5" t="str">
        <f>C182</f>
        <v>Bélgica</v>
      </c>
      <c r="C182" s="303" t="s">
        <v>121</v>
      </c>
      <c r="D182" s="304"/>
      <c r="E182" s="304"/>
      <c r="F182" s="304"/>
      <c r="G182" s="304"/>
      <c r="H182" s="304"/>
      <c r="I182" s="304"/>
      <c r="J182" s="304"/>
      <c r="K182" s="304"/>
      <c r="L182" s="304"/>
      <c r="M182" s="304"/>
      <c r="N182" s="304"/>
    </row>
    <row r="183" spans="1:15" ht="22.5" thickTop="1" thickBot="1" x14ac:dyDescent="0.3">
      <c r="B183" s="111"/>
      <c r="C183" s="305">
        <f>$C$7</f>
        <v>2020</v>
      </c>
      <c r="D183" s="306"/>
      <c r="E183" s="307">
        <f>$E$7</f>
        <v>2021</v>
      </c>
      <c r="F183" s="306"/>
      <c r="G183" s="307">
        <f>$G$7</f>
        <v>2022</v>
      </c>
      <c r="H183" s="306"/>
      <c r="I183" s="307">
        <f>$I$7</f>
        <v>2023</v>
      </c>
      <c r="J183" s="306"/>
      <c r="K183" s="307">
        <f>$K$7</f>
        <v>2024</v>
      </c>
      <c r="L183" s="306"/>
      <c r="M183" s="307">
        <f>$M$7</f>
        <v>2025</v>
      </c>
      <c r="N183" s="308"/>
    </row>
    <row r="184" spans="1:15" ht="16.5" thickTop="1" thickBot="1" x14ac:dyDescent="0.3">
      <c r="B184" s="87"/>
      <c r="C184" s="115" t="s">
        <v>71</v>
      </c>
      <c r="D184" s="116" t="str">
        <f>CONCATENATE("var. ",RIGHT(C183,2),"/",RIGHT(C183-1,2))</f>
        <v>var. 20/19</v>
      </c>
      <c r="E184" s="117" t="s">
        <v>71</v>
      </c>
      <c r="F184" s="116" t="s">
        <v>248</v>
      </c>
      <c r="G184" s="117" t="s">
        <v>71</v>
      </c>
      <c r="H184" s="116" t="s">
        <v>248</v>
      </c>
      <c r="I184" s="117" t="s">
        <v>71</v>
      </c>
      <c r="J184" s="116" t="s">
        <v>248</v>
      </c>
      <c r="K184" s="117" t="s">
        <v>71</v>
      </c>
      <c r="L184" s="116" t="s">
        <v>248</v>
      </c>
      <c r="M184" s="117" t="s">
        <v>71</v>
      </c>
      <c r="N184" s="116" t="s">
        <v>271</v>
      </c>
    </row>
    <row r="185" spans="1:15" x14ac:dyDescent="0.25">
      <c r="A185" s="124"/>
      <c r="B185" s="118" t="s">
        <v>73</v>
      </c>
      <c r="C185" s="119">
        <v>529</v>
      </c>
      <c r="D185" s="120">
        <v>0.63777089783281737</v>
      </c>
      <c r="E185" s="119">
        <v>69</v>
      </c>
      <c r="F185" s="120">
        <f t="shared" ref="F185:L197" si="20">IFERROR(E185/C185-1,"-")</f>
        <v>-0.86956521739130432</v>
      </c>
      <c r="G185" s="119">
        <v>413</v>
      </c>
      <c r="H185" s="120">
        <f t="shared" si="20"/>
        <v>4.9855072463768115</v>
      </c>
      <c r="I185" s="119">
        <v>618</v>
      </c>
      <c r="J185" s="120">
        <f t="shared" si="20"/>
        <v>0.49636803874092017</v>
      </c>
      <c r="K185" s="119">
        <v>796</v>
      </c>
      <c r="L185" s="120">
        <f t="shared" si="20"/>
        <v>0.28802588996763756</v>
      </c>
      <c r="M185" s="119">
        <v>915</v>
      </c>
      <c r="N185" s="120">
        <f t="shared" ref="N185:N190" si="21">IFERROR(M185/K185-1,"-")</f>
        <v>0.14949748743718594</v>
      </c>
    </row>
    <row r="186" spans="1:15" x14ac:dyDescent="0.25">
      <c r="B186" s="118" t="s">
        <v>75</v>
      </c>
      <c r="C186" s="119">
        <v>333</v>
      </c>
      <c r="D186" s="120">
        <v>-6.4606741573033699E-2</v>
      </c>
      <c r="E186" s="119">
        <v>84</v>
      </c>
      <c r="F186" s="120">
        <f t="shared" si="20"/>
        <v>-0.74774774774774777</v>
      </c>
      <c r="G186" s="119">
        <v>507</v>
      </c>
      <c r="H186" s="120">
        <f t="shared" si="20"/>
        <v>5.0357142857142856</v>
      </c>
      <c r="I186" s="119">
        <v>515</v>
      </c>
      <c r="J186" s="120">
        <f t="shared" si="20"/>
        <v>1.5779092702169706E-2</v>
      </c>
      <c r="K186" s="119">
        <v>580</v>
      </c>
      <c r="L186" s="120">
        <f t="shared" si="20"/>
        <v>0.12621359223300965</v>
      </c>
      <c r="M186" s="119">
        <v>590</v>
      </c>
      <c r="N186" s="120">
        <f t="shared" si="21"/>
        <v>1.7241379310344751E-2</v>
      </c>
    </row>
    <row r="187" spans="1:15" x14ac:dyDescent="0.25">
      <c r="B187" s="118" t="s">
        <v>77</v>
      </c>
      <c r="C187" s="119">
        <v>258</v>
      </c>
      <c r="D187" s="120">
        <v>-0.38717339667458428</v>
      </c>
      <c r="E187" s="119">
        <v>53</v>
      </c>
      <c r="F187" s="120">
        <f t="shared" si="20"/>
        <v>-0.79457364341085268</v>
      </c>
      <c r="G187" s="119">
        <v>494</v>
      </c>
      <c r="H187" s="120">
        <f t="shared" si="20"/>
        <v>8.3207547169811313</v>
      </c>
      <c r="I187" s="119">
        <v>852</v>
      </c>
      <c r="J187" s="120">
        <f t="shared" si="20"/>
        <v>0.72469635627530371</v>
      </c>
      <c r="K187" s="119">
        <v>529</v>
      </c>
      <c r="L187" s="120">
        <f t="shared" si="20"/>
        <v>-0.37910798122065725</v>
      </c>
      <c r="M187" s="119">
        <v>411</v>
      </c>
      <c r="N187" s="120">
        <f t="shared" si="21"/>
        <v>-0.22306238185255201</v>
      </c>
    </row>
    <row r="188" spans="1:15" x14ac:dyDescent="0.25">
      <c r="B188" s="118" t="s">
        <v>79</v>
      </c>
      <c r="C188" s="119">
        <v>0</v>
      </c>
      <c r="D188" s="120">
        <v>-1</v>
      </c>
      <c r="E188" s="119">
        <v>56</v>
      </c>
      <c r="F188" s="120" t="str">
        <f t="shared" si="20"/>
        <v>-</v>
      </c>
      <c r="G188" s="119">
        <v>320</v>
      </c>
      <c r="H188" s="120">
        <f t="shared" si="20"/>
        <v>4.7142857142857144</v>
      </c>
      <c r="I188" s="119">
        <v>425</v>
      </c>
      <c r="J188" s="120">
        <f t="shared" si="20"/>
        <v>0.328125</v>
      </c>
      <c r="K188" s="119">
        <v>432</v>
      </c>
      <c r="L188" s="120">
        <f t="shared" si="20"/>
        <v>1.6470588235294015E-2</v>
      </c>
      <c r="M188" s="119">
        <v>296</v>
      </c>
      <c r="N188" s="120">
        <f t="shared" si="21"/>
        <v>-0.31481481481481477</v>
      </c>
    </row>
    <row r="189" spans="1:15" x14ac:dyDescent="0.25">
      <c r="B189" s="118" t="s">
        <v>81</v>
      </c>
      <c r="C189" s="119">
        <v>0</v>
      </c>
      <c r="D189" s="120">
        <v>-1</v>
      </c>
      <c r="E189" s="119">
        <v>221</v>
      </c>
      <c r="F189" s="120" t="str">
        <f t="shared" si="20"/>
        <v>-</v>
      </c>
      <c r="G189" s="119">
        <v>325</v>
      </c>
      <c r="H189" s="120">
        <f t="shared" si="20"/>
        <v>0.47058823529411775</v>
      </c>
      <c r="I189" s="119">
        <v>258</v>
      </c>
      <c r="J189" s="120">
        <f t="shared" si="20"/>
        <v>-0.20615384615384613</v>
      </c>
      <c r="K189" s="119">
        <v>367</v>
      </c>
      <c r="L189" s="120">
        <f t="shared" si="20"/>
        <v>0.42248062015503884</v>
      </c>
      <c r="M189" s="119">
        <v>397</v>
      </c>
      <c r="N189" s="120">
        <f t="shared" si="21"/>
        <v>8.1743869209809361E-2</v>
      </c>
    </row>
    <row r="190" spans="1:15" x14ac:dyDescent="0.25">
      <c r="B190" s="118" t="s">
        <v>122</v>
      </c>
      <c r="C190" s="119">
        <v>0</v>
      </c>
      <c r="D190" s="120">
        <v>-1</v>
      </c>
      <c r="E190" s="119">
        <v>160</v>
      </c>
      <c r="F190" s="120" t="str">
        <f t="shared" si="20"/>
        <v>-</v>
      </c>
      <c r="G190" s="119">
        <v>268</v>
      </c>
      <c r="H190" s="120">
        <f t="shared" si="20"/>
        <v>0.67500000000000004</v>
      </c>
      <c r="I190" s="119">
        <v>221</v>
      </c>
      <c r="J190" s="120">
        <f t="shared" si="20"/>
        <v>-0.17537313432835822</v>
      </c>
      <c r="K190" s="119">
        <v>272</v>
      </c>
      <c r="L190" s="120">
        <f t="shared" si="20"/>
        <v>0.23076923076923084</v>
      </c>
      <c r="M190" s="119">
        <v>281</v>
      </c>
      <c r="N190" s="120">
        <f t="shared" si="21"/>
        <v>3.3088235294117752E-2</v>
      </c>
    </row>
    <row r="191" spans="1:15" x14ac:dyDescent="0.25">
      <c r="B191" s="118" t="s">
        <v>85</v>
      </c>
      <c r="C191" s="119">
        <v>0</v>
      </c>
      <c r="D191" s="120">
        <v>-1</v>
      </c>
      <c r="E191" s="119">
        <v>213</v>
      </c>
      <c r="F191" s="120" t="str">
        <f t="shared" si="20"/>
        <v>-</v>
      </c>
      <c r="G191" s="119">
        <v>406</v>
      </c>
      <c r="H191" s="120">
        <f t="shared" si="20"/>
        <v>0.9061032863849765</v>
      </c>
      <c r="I191" s="119">
        <v>344</v>
      </c>
      <c r="J191" s="120">
        <f t="shared" si="20"/>
        <v>-0.15270935960591137</v>
      </c>
      <c r="K191" s="119">
        <v>325</v>
      </c>
      <c r="L191" s="120">
        <f t="shared" si="20"/>
        <v>-5.5232558139534871E-2</v>
      </c>
      <c r="M191" s="119"/>
      <c r="N191" s="120"/>
    </row>
    <row r="192" spans="1:15" x14ac:dyDescent="0.25">
      <c r="B192" s="118" t="s">
        <v>87</v>
      </c>
      <c r="C192" s="119">
        <v>126</v>
      </c>
      <c r="D192" s="120">
        <v>-0.44247787610619471</v>
      </c>
      <c r="E192" s="119">
        <v>289</v>
      </c>
      <c r="F192" s="120">
        <f t="shared" si="20"/>
        <v>1.2936507936507935</v>
      </c>
      <c r="G192" s="119">
        <v>450</v>
      </c>
      <c r="H192" s="120">
        <f t="shared" si="20"/>
        <v>0.55709342560553643</v>
      </c>
      <c r="I192" s="119">
        <v>416</v>
      </c>
      <c r="J192" s="120">
        <f t="shared" si="20"/>
        <v>-7.5555555555555598E-2</v>
      </c>
      <c r="K192" s="119">
        <v>463</v>
      </c>
      <c r="L192" s="120">
        <f t="shared" si="20"/>
        <v>0.11298076923076916</v>
      </c>
      <c r="M192" s="119"/>
      <c r="N192" s="120"/>
    </row>
    <row r="193" spans="2:15" x14ac:dyDescent="0.25">
      <c r="B193" s="118" t="s">
        <v>89</v>
      </c>
      <c r="C193" s="119">
        <v>140</v>
      </c>
      <c r="D193" s="120">
        <v>-0.57317073170731714</v>
      </c>
      <c r="E193" s="119">
        <v>260</v>
      </c>
      <c r="F193" s="120">
        <f t="shared" si="20"/>
        <v>0.85714285714285721</v>
      </c>
      <c r="G193" s="119">
        <v>243</v>
      </c>
      <c r="H193" s="120">
        <f t="shared" si="20"/>
        <v>-6.5384615384615374E-2</v>
      </c>
      <c r="I193" s="119">
        <v>288</v>
      </c>
      <c r="J193" s="120">
        <f t="shared" si="20"/>
        <v>0.18518518518518512</v>
      </c>
      <c r="K193" s="119">
        <v>439</v>
      </c>
      <c r="L193" s="120">
        <f t="shared" si="20"/>
        <v>0.52430555555555558</v>
      </c>
      <c r="M193" s="119"/>
      <c r="N193" s="120"/>
    </row>
    <row r="194" spans="2:15" x14ac:dyDescent="0.25">
      <c r="B194" s="118" t="s">
        <v>91</v>
      </c>
      <c r="C194" s="119">
        <v>131</v>
      </c>
      <c r="D194" s="120">
        <v>-0.54035087719298247</v>
      </c>
      <c r="E194" s="119">
        <v>411</v>
      </c>
      <c r="F194" s="120">
        <f t="shared" si="20"/>
        <v>2.1374045801526718</v>
      </c>
      <c r="G194" s="119">
        <v>291</v>
      </c>
      <c r="H194" s="120">
        <f t="shared" si="20"/>
        <v>-0.29197080291970801</v>
      </c>
      <c r="I194" s="119">
        <v>386</v>
      </c>
      <c r="J194" s="120">
        <f t="shared" si="20"/>
        <v>0.32646048109965631</v>
      </c>
      <c r="K194" s="119">
        <v>369</v>
      </c>
      <c r="L194" s="120">
        <f t="shared" si="20"/>
        <v>-4.4041450777202118E-2</v>
      </c>
      <c r="M194" s="119"/>
      <c r="N194" s="120"/>
    </row>
    <row r="195" spans="2:15" x14ac:dyDescent="0.25">
      <c r="B195" s="118" t="s">
        <v>93</v>
      </c>
      <c r="C195" s="119">
        <v>98</v>
      </c>
      <c r="D195" s="120">
        <v>-0.81261950286806883</v>
      </c>
      <c r="E195" s="119">
        <v>1087</v>
      </c>
      <c r="F195" s="120">
        <f t="shared" si="20"/>
        <v>10.091836734693878</v>
      </c>
      <c r="G195" s="119">
        <v>472</v>
      </c>
      <c r="H195" s="120">
        <f t="shared" si="20"/>
        <v>-0.56577736890524377</v>
      </c>
      <c r="I195" s="119">
        <v>961</v>
      </c>
      <c r="J195" s="120">
        <f t="shared" si="20"/>
        <v>1.0360169491525424</v>
      </c>
      <c r="K195" s="119">
        <v>532</v>
      </c>
      <c r="L195" s="120">
        <f t="shared" si="20"/>
        <v>-0.44640998959417277</v>
      </c>
      <c r="M195" s="119"/>
      <c r="N195" s="120"/>
    </row>
    <row r="196" spans="2:15" x14ac:dyDescent="0.25">
      <c r="B196" s="118" t="s">
        <v>95</v>
      </c>
      <c r="C196" s="119">
        <v>193</v>
      </c>
      <c r="D196" s="120">
        <v>-0.47267759562841527</v>
      </c>
      <c r="E196" s="119">
        <v>547</v>
      </c>
      <c r="F196" s="120">
        <f t="shared" si="20"/>
        <v>1.8341968911917097</v>
      </c>
      <c r="G196" s="119">
        <v>662</v>
      </c>
      <c r="H196" s="120">
        <f t="shared" si="20"/>
        <v>0.21023765996343702</v>
      </c>
      <c r="I196" s="119">
        <v>674</v>
      </c>
      <c r="J196" s="120">
        <f t="shared" si="20"/>
        <v>1.812688821752273E-2</v>
      </c>
      <c r="K196" s="119">
        <v>812</v>
      </c>
      <c r="L196" s="120">
        <f t="shared" si="20"/>
        <v>0.20474777448071224</v>
      </c>
      <c r="M196" s="119"/>
      <c r="N196" s="120"/>
    </row>
    <row r="197" spans="2:15" ht="15.75" x14ac:dyDescent="0.25">
      <c r="B197" s="121" t="s">
        <v>32</v>
      </c>
      <c r="C197" s="122">
        <v>1919</v>
      </c>
      <c r="D197" s="123">
        <v>-0.51083354575579909</v>
      </c>
      <c r="E197" s="122">
        <v>3450</v>
      </c>
      <c r="F197" s="123">
        <f t="shared" si="20"/>
        <v>0.79781136008337672</v>
      </c>
      <c r="G197" s="122">
        <v>4851</v>
      </c>
      <c r="H197" s="123">
        <f t="shared" si="20"/>
        <v>0.4060869565217391</v>
      </c>
      <c r="I197" s="122">
        <v>5958</v>
      </c>
      <c r="J197" s="123">
        <f t="shared" si="20"/>
        <v>0.22820037105751401</v>
      </c>
      <c r="K197" s="122">
        <v>5916</v>
      </c>
      <c r="L197" s="123">
        <f t="shared" si="20"/>
        <v>-7.0493454179254567E-3</v>
      </c>
      <c r="M197" s="122">
        <v>2890</v>
      </c>
      <c r="N197" s="123">
        <v>-2.8897849462365621E-2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C200" s="124"/>
      <c r="K200" s="124"/>
      <c r="N200" s="81"/>
    </row>
    <row r="202" spans="2:15" ht="48.75" customHeight="1" thickBot="1" x14ac:dyDescent="0.3">
      <c r="B202" s="278" t="s">
        <v>279</v>
      </c>
      <c r="C202" s="278"/>
      <c r="D202" s="278"/>
      <c r="E202" s="278"/>
      <c r="F202" s="278"/>
      <c r="G202" s="278"/>
      <c r="H202" s="278"/>
      <c r="I202" s="278"/>
      <c r="J202" s="278"/>
      <c r="K202" s="278"/>
      <c r="L202" s="278"/>
      <c r="M202" s="278"/>
      <c r="N202" s="278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5" t="str">
        <f>C204</f>
        <v>Países Bajos</v>
      </c>
      <c r="C204" s="303" t="s">
        <v>125</v>
      </c>
      <c r="D204" s="304"/>
      <c r="E204" s="304"/>
      <c r="F204" s="304"/>
      <c r="G204" s="304"/>
      <c r="H204" s="304"/>
      <c r="I204" s="304"/>
      <c r="J204" s="304"/>
      <c r="K204" s="304"/>
      <c r="L204" s="304"/>
      <c r="M204" s="304"/>
      <c r="N204" s="304"/>
    </row>
    <row r="205" spans="2:15" ht="22.5" thickTop="1" thickBot="1" x14ac:dyDescent="0.3">
      <c r="B205" s="111"/>
      <c r="C205" s="305">
        <f>$C$7</f>
        <v>2020</v>
      </c>
      <c r="D205" s="306"/>
      <c r="E205" s="307">
        <f>$E$7</f>
        <v>2021</v>
      </c>
      <c r="F205" s="306"/>
      <c r="G205" s="307">
        <f>$G$7</f>
        <v>2022</v>
      </c>
      <c r="H205" s="306"/>
      <c r="I205" s="307">
        <f>$I$7</f>
        <v>2023</v>
      </c>
      <c r="J205" s="306"/>
      <c r="K205" s="307">
        <f>$K$7</f>
        <v>2024</v>
      </c>
      <c r="L205" s="306"/>
      <c r="M205" s="307">
        <f>$M$7</f>
        <v>2025</v>
      </c>
      <c r="N205" s="308"/>
    </row>
    <row r="206" spans="2:15" ht="16.5" thickTop="1" thickBot="1" x14ac:dyDescent="0.3">
      <c r="B206" s="87"/>
      <c r="C206" s="115" t="s">
        <v>71</v>
      </c>
      <c r="D206" s="116" t="str">
        <f>CONCATENATE("var. ",RIGHT(C205,2),"/",RIGHT(C205-1,2))</f>
        <v>var. 20/19</v>
      </c>
      <c r="E206" s="117" t="s">
        <v>71</v>
      </c>
      <c r="F206" s="116" t="s">
        <v>248</v>
      </c>
      <c r="G206" s="117" t="s">
        <v>71</v>
      </c>
      <c r="H206" s="116" t="s">
        <v>248</v>
      </c>
      <c r="I206" s="117" t="s">
        <v>71</v>
      </c>
      <c r="J206" s="116" t="s">
        <v>248</v>
      </c>
      <c r="K206" s="117" t="s">
        <v>71</v>
      </c>
      <c r="L206" s="116" t="s">
        <v>248</v>
      </c>
      <c r="M206" s="117" t="s">
        <v>71</v>
      </c>
      <c r="N206" s="116" t="s">
        <v>271</v>
      </c>
    </row>
    <row r="207" spans="2:15" x14ac:dyDescent="0.25">
      <c r="B207" s="118" t="s">
        <v>73</v>
      </c>
      <c r="C207" s="119">
        <v>661</v>
      </c>
      <c r="D207" s="120">
        <v>2.4806201550387597E-2</v>
      </c>
      <c r="E207" s="119">
        <v>80</v>
      </c>
      <c r="F207" s="120">
        <f t="shared" ref="F207:L219" si="22">IFERROR(E207/C207-1,"-")</f>
        <v>-0.87897125567322243</v>
      </c>
      <c r="G207" s="119">
        <v>841</v>
      </c>
      <c r="H207" s="120">
        <f t="shared" si="22"/>
        <v>9.5124999999999993</v>
      </c>
      <c r="I207" s="119">
        <v>839</v>
      </c>
      <c r="J207" s="120">
        <f t="shared" si="22"/>
        <v>-2.3781212841854638E-3</v>
      </c>
      <c r="K207" s="119">
        <v>913</v>
      </c>
      <c r="L207" s="120">
        <f t="shared" si="22"/>
        <v>8.8200238379022577E-2</v>
      </c>
      <c r="M207" s="119">
        <v>1114</v>
      </c>
      <c r="N207" s="120">
        <f t="shared" ref="N207:N212" si="23">IFERROR(M207/K207-1,"-")</f>
        <v>0.22015334063526826</v>
      </c>
    </row>
    <row r="208" spans="2:15" x14ac:dyDescent="0.25">
      <c r="B208" s="118" t="s">
        <v>75</v>
      </c>
      <c r="C208" s="119">
        <v>450</v>
      </c>
      <c r="D208" s="120">
        <v>8.9686098654708779E-3</v>
      </c>
      <c r="E208" s="119">
        <v>65</v>
      </c>
      <c r="F208" s="120">
        <f t="shared" si="22"/>
        <v>-0.85555555555555562</v>
      </c>
      <c r="G208" s="119">
        <v>652</v>
      </c>
      <c r="H208" s="120">
        <f t="shared" si="22"/>
        <v>9.0307692307692307</v>
      </c>
      <c r="I208" s="119">
        <v>647</v>
      </c>
      <c r="J208" s="120">
        <f t="shared" si="22"/>
        <v>-7.6687116564416735E-3</v>
      </c>
      <c r="K208" s="119">
        <v>794</v>
      </c>
      <c r="L208" s="120">
        <f t="shared" si="22"/>
        <v>0.22720247295208651</v>
      </c>
      <c r="M208" s="119">
        <v>881</v>
      </c>
      <c r="N208" s="120">
        <f t="shared" si="23"/>
        <v>0.10957178841309823</v>
      </c>
    </row>
    <row r="209" spans="2:15" x14ac:dyDescent="0.25">
      <c r="B209" s="118" t="s">
        <v>77</v>
      </c>
      <c r="C209" s="119">
        <v>200</v>
      </c>
      <c r="D209" s="120">
        <v>-0.63636363636363635</v>
      </c>
      <c r="E209" s="119">
        <v>113</v>
      </c>
      <c r="F209" s="120">
        <f t="shared" si="22"/>
        <v>-0.43500000000000005</v>
      </c>
      <c r="G209" s="119">
        <v>550</v>
      </c>
      <c r="H209" s="120">
        <f t="shared" si="22"/>
        <v>3.8672566371681416</v>
      </c>
      <c r="I209" s="119">
        <v>645</v>
      </c>
      <c r="J209" s="120">
        <f t="shared" si="22"/>
        <v>0.17272727272727262</v>
      </c>
      <c r="K209" s="119">
        <v>658</v>
      </c>
      <c r="L209" s="120">
        <f t="shared" si="22"/>
        <v>2.0155038759689825E-2</v>
      </c>
      <c r="M209" s="119">
        <v>653</v>
      </c>
      <c r="N209" s="120">
        <f t="shared" si="23"/>
        <v>-7.5987841945288626E-3</v>
      </c>
    </row>
    <row r="210" spans="2:15" x14ac:dyDescent="0.25">
      <c r="B210" s="118" t="s">
        <v>79</v>
      </c>
      <c r="C210" s="119">
        <v>0</v>
      </c>
      <c r="D210" s="120">
        <v>-1</v>
      </c>
      <c r="E210" s="119">
        <v>91</v>
      </c>
      <c r="F210" s="120" t="str">
        <f t="shared" si="22"/>
        <v>-</v>
      </c>
      <c r="G210" s="119">
        <v>388</v>
      </c>
      <c r="H210" s="120">
        <f t="shared" si="22"/>
        <v>3.2637362637362637</v>
      </c>
      <c r="I210" s="119">
        <v>482</v>
      </c>
      <c r="J210" s="120">
        <f t="shared" si="22"/>
        <v>0.24226804123711343</v>
      </c>
      <c r="K210" s="119">
        <v>538</v>
      </c>
      <c r="L210" s="120">
        <f t="shared" si="22"/>
        <v>0.11618257261410792</v>
      </c>
      <c r="M210" s="119">
        <v>382</v>
      </c>
      <c r="N210" s="120">
        <f t="shared" si="23"/>
        <v>-0.28996282527881045</v>
      </c>
    </row>
    <row r="211" spans="2:15" x14ac:dyDescent="0.25">
      <c r="B211" s="118" t="s">
        <v>81</v>
      </c>
      <c r="C211" s="119">
        <v>0</v>
      </c>
      <c r="D211" s="120">
        <v>-1</v>
      </c>
      <c r="E211" s="119">
        <v>94</v>
      </c>
      <c r="F211" s="120" t="str">
        <f t="shared" si="22"/>
        <v>-</v>
      </c>
      <c r="G211" s="119">
        <v>435</v>
      </c>
      <c r="H211" s="120">
        <f t="shared" si="22"/>
        <v>3.6276595744680851</v>
      </c>
      <c r="I211" s="119">
        <v>431</v>
      </c>
      <c r="J211" s="120">
        <f t="shared" si="22"/>
        <v>-9.1954022988506301E-3</v>
      </c>
      <c r="K211" s="119">
        <v>534</v>
      </c>
      <c r="L211" s="120">
        <f t="shared" si="22"/>
        <v>0.23897911832946628</v>
      </c>
      <c r="M211" s="119">
        <v>431</v>
      </c>
      <c r="N211" s="120">
        <f t="shared" si="23"/>
        <v>-0.19288389513108617</v>
      </c>
    </row>
    <row r="212" spans="2:15" x14ac:dyDescent="0.25">
      <c r="B212" s="118" t="s">
        <v>83</v>
      </c>
      <c r="C212" s="119">
        <v>0</v>
      </c>
      <c r="D212" s="120">
        <v>-1</v>
      </c>
      <c r="E212" s="119">
        <v>197</v>
      </c>
      <c r="F212" s="120" t="str">
        <f t="shared" si="22"/>
        <v>-</v>
      </c>
      <c r="G212" s="119">
        <v>373</v>
      </c>
      <c r="H212" s="120">
        <f t="shared" si="22"/>
        <v>0.89340101522842641</v>
      </c>
      <c r="I212" s="119">
        <v>225</v>
      </c>
      <c r="J212" s="120">
        <f t="shared" si="22"/>
        <v>-0.39678284182305634</v>
      </c>
      <c r="K212" s="119">
        <v>267</v>
      </c>
      <c r="L212" s="120">
        <f t="shared" si="22"/>
        <v>0.18666666666666676</v>
      </c>
      <c r="M212" s="119">
        <v>360</v>
      </c>
      <c r="N212" s="120">
        <f t="shared" si="23"/>
        <v>0.348314606741573</v>
      </c>
    </row>
    <row r="213" spans="2:15" x14ac:dyDescent="0.25">
      <c r="B213" s="118" t="s">
        <v>85</v>
      </c>
      <c r="C213" s="119">
        <v>0</v>
      </c>
      <c r="D213" s="120">
        <v>-1</v>
      </c>
      <c r="E213" s="119">
        <v>428</v>
      </c>
      <c r="F213" s="120" t="str">
        <f t="shared" si="22"/>
        <v>-</v>
      </c>
      <c r="G213" s="119">
        <v>244</v>
      </c>
      <c r="H213" s="120">
        <f t="shared" si="22"/>
        <v>-0.42990654205607481</v>
      </c>
      <c r="I213" s="119">
        <v>569</v>
      </c>
      <c r="J213" s="120">
        <f t="shared" si="22"/>
        <v>1.331967213114754</v>
      </c>
      <c r="K213" s="119">
        <v>431</v>
      </c>
      <c r="L213" s="120">
        <f t="shared" si="22"/>
        <v>-0.24253075571177507</v>
      </c>
      <c r="M213" s="119"/>
      <c r="N213" s="120"/>
    </row>
    <row r="214" spans="2:15" x14ac:dyDescent="0.25">
      <c r="B214" s="118" t="s">
        <v>87</v>
      </c>
      <c r="C214" s="119">
        <v>77</v>
      </c>
      <c r="D214" s="120">
        <v>-0.82379862700228834</v>
      </c>
      <c r="E214" s="119">
        <v>407</v>
      </c>
      <c r="F214" s="120">
        <f t="shared" si="22"/>
        <v>4.2857142857142856</v>
      </c>
      <c r="G214" s="119">
        <v>636</v>
      </c>
      <c r="H214" s="120">
        <f t="shared" si="22"/>
        <v>0.5626535626535627</v>
      </c>
      <c r="I214" s="119">
        <v>720</v>
      </c>
      <c r="J214" s="120">
        <f t="shared" si="22"/>
        <v>0.13207547169811318</v>
      </c>
      <c r="K214" s="119">
        <v>977</v>
      </c>
      <c r="L214" s="120">
        <f t="shared" si="22"/>
        <v>0.35694444444444451</v>
      </c>
      <c r="M214" s="119"/>
      <c r="N214" s="120"/>
    </row>
    <row r="215" spans="2:15" x14ac:dyDescent="0.25">
      <c r="B215" s="118" t="s">
        <v>89</v>
      </c>
      <c r="C215" s="119">
        <v>29</v>
      </c>
      <c r="D215" s="120">
        <v>-0.91966759002770082</v>
      </c>
      <c r="E215" s="119">
        <v>329</v>
      </c>
      <c r="F215" s="120">
        <f t="shared" si="22"/>
        <v>10.344827586206897</v>
      </c>
      <c r="G215" s="119">
        <v>373</v>
      </c>
      <c r="H215" s="120">
        <f t="shared" si="22"/>
        <v>0.13373860182370811</v>
      </c>
      <c r="I215" s="119">
        <v>576</v>
      </c>
      <c r="J215" s="120">
        <f t="shared" si="22"/>
        <v>0.54423592493297579</v>
      </c>
      <c r="K215" s="119">
        <v>351</v>
      </c>
      <c r="L215" s="120">
        <f t="shared" si="22"/>
        <v>-0.390625</v>
      </c>
      <c r="M215" s="119"/>
      <c r="N215" s="120"/>
    </row>
    <row r="216" spans="2:15" x14ac:dyDescent="0.25">
      <c r="B216" s="118" t="s">
        <v>91</v>
      </c>
      <c r="C216" s="119">
        <v>47</v>
      </c>
      <c r="D216" s="120">
        <v>-0.84640522875816993</v>
      </c>
      <c r="E216" s="119">
        <v>410</v>
      </c>
      <c r="F216" s="120">
        <f t="shared" si="22"/>
        <v>7.7234042553191493</v>
      </c>
      <c r="G216" s="119">
        <v>371</v>
      </c>
      <c r="H216" s="120">
        <f t="shared" si="22"/>
        <v>-9.5121951219512169E-2</v>
      </c>
      <c r="I216" s="119">
        <v>441</v>
      </c>
      <c r="J216" s="120">
        <f t="shared" si="22"/>
        <v>0.18867924528301883</v>
      </c>
      <c r="K216" s="119">
        <v>517</v>
      </c>
      <c r="L216" s="120">
        <f t="shared" si="22"/>
        <v>0.17233560090702937</v>
      </c>
      <c r="M216" s="119"/>
      <c r="N216" s="120"/>
    </row>
    <row r="217" spans="2:15" x14ac:dyDescent="0.25">
      <c r="B217" s="118" t="s">
        <v>93</v>
      </c>
      <c r="C217" s="119">
        <v>129</v>
      </c>
      <c r="D217" s="120">
        <v>-0.64850136239782019</v>
      </c>
      <c r="E217" s="119">
        <v>693</v>
      </c>
      <c r="F217" s="120">
        <f t="shared" si="22"/>
        <v>4.3720930232558137</v>
      </c>
      <c r="G217" s="119">
        <v>765</v>
      </c>
      <c r="H217" s="120">
        <f t="shared" si="22"/>
        <v>0.10389610389610393</v>
      </c>
      <c r="I217" s="119">
        <v>827</v>
      </c>
      <c r="J217" s="120">
        <f t="shared" si="22"/>
        <v>8.1045751633986862E-2</v>
      </c>
      <c r="K217" s="119">
        <v>704</v>
      </c>
      <c r="L217" s="120">
        <f t="shared" si="22"/>
        <v>-0.14873035066505447</v>
      </c>
      <c r="M217" s="119"/>
      <c r="N217" s="120"/>
    </row>
    <row r="218" spans="2:15" x14ac:dyDescent="0.25">
      <c r="B218" s="118" t="s">
        <v>95</v>
      </c>
      <c r="C218" s="119">
        <v>101</v>
      </c>
      <c r="D218" s="120">
        <v>-0.86848958333333337</v>
      </c>
      <c r="E218" s="119">
        <v>771</v>
      </c>
      <c r="F218" s="120">
        <f t="shared" si="22"/>
        <v>6.6336633663366333</v>
      </c>
      <c r="G218" s="119">
        <v>835</v>
      </c>
      <c r="H218" s="120">
        <f t="shared" si="22"/>
        <v>8.3009079118028462E-2</v>
      </c>
      <c r="I218" s="119">
        <v>981</v>
      </c>
      <c r="J218" s="120">
        <f t="shared" si="22"/>
        <v>0.17485029940119756</v>
      </c>
      <c r="K218" s="119">
        <v>744</v>
      </c>
      <c r="L218" s="120">
        <f t="shared" si="22"/>
        <v>-0.24159021406727832</v>
      </c>
      <c r="M218" s="119"/>
      <c r="N218" s="120"/>
    </row>
    <row r="219" spans="2:15" ht="15.75" x14ac:dyDescent="0.25">
      <c r="B219" s="121" t="s">
        <v>32</v>
      </c>
      <c r="C219" s="122">
        <v>1882</v>
      </c>
      <c r="D219" s="123">
        <v>-0.61825557809330633</v>
      </c>
      <c r="E219" s="122">
        <v>3678</v>
      </c>
      <c r="F219" s="123">
        <f t="shared" si="22"/>
        <v>0.9543039319872475</v>
      </c>
      <c r="G219" s="122">
        <v>6463</v>
      </c>
      <c r="H219" s="123">
        <f t="shared" si="22"/>
        <v>0.75720500271886904</v>
      </c>
      <c r="I219" s="122">
        <v>7383</v>
      </c>
      <c r="J219" s="123">
        <f t="shared" si="22"/>
        <v>0.14234875444839856</v>
      </c>
      <c r="K219" s="122">
        <v>7428</v>
      </c>
      <c r="L219" s="123">
        <f t="shared" si="22"/>
        <v>6.0950832994717263E-3</v>
      </c>
      <c r="M219" s="122">
        <v>3821</v>
      </c>
      <c r="N219" s="123">
        <v>3.1587473002159916E-2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C222" s="124"/>
      <c r="K222" s="124"/>
      <c r="N222" s="81"/>
    </row>
    <row r="224" spans="2:15" ht="48.75" customHeight="1" thickBot="1" x14ac:dyDescent="0.3">
      <c r="B224" s="278" t="s">
        <v>280</v>
      </c>
      <c r="C224" s="278"/>
      <c r="D224" s="278"/>
      <c r="E224" s="278"/>
      <c r="F224" s="278"/>
      <c r="G224" s="278"/>
      <c r="H224" s="278"/>
      <c r="I224" s="278"/>
      <c r="J224" s="278"/>
      <c r="K224" s="278"/>
      <c r="L224" s="278"/>
      <c r="M224" s="278"/>
      <c r="N224" s="278"/>
      <c r="O224" s="1" t="s">
        <v>149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150</v>
      </c>
    </row>
    <row r="226" spans="2:15" ht="22.5" thickTop="1" thickBot="1" x14ac:dyDescent="0.3">
      <c r="B226" s="125" t="str">
        <f>C226</f>
        <v>Dinamarca</v>
      </c>
      <c r="C226" s="303" t="s">
        <v>130</v>
      </c>
      <c r="D226" s="304"/>
      <c r="E226" s="304"/>
      <c r="F226" s="304"/>
      <c r="G226" s="304"/>
      <c r="H226" s="304"/>
      <c r="I226" s="304"/>
      <c r="J226" s="304"/>
      <c r="K226" s="304"/>
      <c r="L226" s="304"/>
      <c r="M226" s="304"/>
      <c r="N226" s="304"/>
    </row>
    <row r="227" spans="2:15" ht="22.5" thickTop="1" thickBot="1" x14ac:dyDescent="0.3">
      <c r="B227" s="111"/>
      <c r="C227" s="305">
        <f>$C$7</f>
        <v>2020</v>
      </c>
      <c r="D227" s="306"/>
      <c r="E227" s="307">
        <f>$E$7</f>
        <v>2021</v>
      </c>
      <c r="F227" s="306"/>
      <c r="G227" s="307">
        <f>$G$7</f>
        <v>2022</v>
      </c>
      <c r="H227" s="306"/>
      <c r="I227" s="307">
        <f>$I$7</f>
        <v>2023</v>
      </c>
      <c r="J227" s="306"/>
      <c r="K227" s="307">
        <f>$K$7</f>
        <v>2024</v>
      </c>
      <c r="L227" s="306"/>
      <c r="M227" s="307">
        <f>$M$7</f>
        <v>2025</v>
      </c>
      <c r="N227" s="308"/>
    </row>
    <row r="228" spans="2:15" ht="16.5" thickTop="1" thickBot="1" x14ac:dyDescent="0.3">
      <c r="B228" s="87"/>
      <c r="C228" s="115" t="s">
        <v>71</v>
      </c>
      <c r="D228" s="116" t="str">
        <f>CONCATENATE("var. ",RIGHT(C227,2),"/",RIGHT(C227-1,2))</f>
        <v>var. 20/19</v>
      </c>
      <c r="E228" s="117" t="s">
        <v>71</v>
      </c>
      <c r="F228" s="116" t="s">
        <v>248</v>
      </c>
      <c r="G228" s="117" t="s">
        <v>71</v>
      </c>
      <c r="H228" s="116" t="s">
        <v>248</v>
      </c>
      <c r="I228" s="117" t="s">
        <v>71</v>
      </c>
      <c r="J228" s="116" t="s">
        <v>248</v>
      </c>
      <c r="K228" s="117" t="s">
        <v>71</v>
      </c>
      <c r="L228" s="116" t="s">
        <v>248</v>
      </c>
      <c r="M228" s="117" t="s">
        <v>71</v>
      </c>
      <c r="N228" s="116" t="s">
        <v>271</v>
      </c>
    </row>
    <row r="229" spans="2:15" x14ac:dyDescent="0.25">
      <c r="B229" s="118" t="s">
        <v>73</v>
      </c>
      <c r="C229" s="119">
        <v>738</v>
      </c>
      <c r="D229" s="120">
        <v>-9.5588235294117641E-2</v>
      </c>
      <c r="E229" s="119">
        <v>4</v>
      </c>
      <c r="F229" s="120">
        <f t="shared" ref="F229:L241" si="24">IFERROR(E229/C229-1,"-")</f>
        <v>-0.99457994579945797</v>
      </c>
      <c r="G229" s="119">
        <v>507</v>
      </c>
      <c r="H229" s="120">
        <f t="shared" si="24"/>
        <v>125.75</v>
      </c>
      <c r="I229" s="119">
        <v>531</v>
      </c>
      <c r="J229" s="120">
        <f t="shared" si="24"/>
        <v>4.7337278106508895E-2</v>
      </c>
      <c r="K229" s="119">
        <v>839</v>
      </c>
      <c r="L229" s="120">
        <f t="shared" si="24"/>
        <v>0.58003766478342755</v>
      </c>
      <c r="M229" s="119">
        <v>555</v>
      </c>
      <c r="N229" s="120">
        <f t="shared" ref="N229:N234" si="25">IFERROR(M229/K229-1,"-")</f>
        <v>-0.33849821215733011</v>
      </c>
    </row>
    <row r="230" spans="2:15" x14ac:dyDescent="0.25">
      <c r="B230" s="118" t="s">
        <v>75</v>
      </c>
      <c r="C230" s="119">
        <v>520</v>
      </c>
      <c r="D230" s="120">
        <v>-3.1657355679702071E-2</v>
      </c>
      <c r="E230" s="119">
        <v>4</v>
      </c>
      <c r="F230" s="120">
        <f t="shared" si="24"/>
        <v>-0.99230769230769234</v>
      </c>
      <c r="G230" s="119">
        <v>218</v>
      </c>
      <c r="H230" s="120">
        <f t="shared" si="24"/>
        <v>53.5</v>
      </c>
      <c r="I230" s="119">
        <v>389</v>
      </c>
      <c r="J230" s="120">
        <f t="shared" si="24"/>
        <v>0.78440366972477071</v>
      </c>
      <c r="K230" s="119">
        <v>667</v>
      </c>
      <c r="L230" s="120">
        <f t="shared" si="24"/>
        <v>0.71465295629820047</v>
      </c>
      <c r="M230" s="119">
        <v>428</v>
      </c>
      <c r="N230" s="120">
        <f t="shared" si="25"/>
        <v>-0.35832083958020988</v>
      </c>
    </row>
    <row r="231" spans="2:15" x14ac:dyDescent="0.25">
      <c r="B231" s="118" t="s">
        <v>77</v>
      </c>
      <c r="C231" s="119">
        <v>322</v>
      </c>
      <c r="D231" s="120">
        <v>-0.65189189189189189</v>
      </c>
      <c r="E231" s="119">
        <v>9</v>
      </c>
      <c r="F231" s="120">
        <f t="shared" si="24"/>
        <v>-0.97204968944099379</v>
      </c>
      <c r="G231" s="119">
        <v>305</v>
      </c>
      <c r="H231" s="120">
        <f t="shared" si="24"/>
        <v>32.888888888888886</v>
      </c>
      <c r="I231" s="119">
        <v>538</v>
      </c>
      <c r="J231" s="120">
        <f t="shared" si="24"/>
        <v>0.76393442622950825</v>
      </c>
      <c r="K231" s="119">
        <v>523</v>
      </c>
      <c r="L231" s="120">
        <f t="shared" si="24"/>
        <v>-2.7881040892193343E-2</v>
      </c>
      <c r="M231" s="119">
        <v>403</v>
      </c>
      <c r="N231" s="120">
        <f t="shared" si="25"/>
        <v>-0.22944550669216057</v>
      </c>
    </row>
    <row r="232" spans="2:15" x14ac:dyDescent="0.25">
      <c r="B232" s="118" t="s">
        <v>79</v>
      </c>
      <c r="C232" s="119">
        <v>0</v>
      </c>
      <c r="D232" s="120">
        <v>-1</v>
      </c>
      <c r="E232" s="119">
        <v>19</v>
      </c>
      <c r="F232" s="120" t="str">
        <f t="shared" si="24"/>
        <v>-</v>
      </c>
      <c r="G232" s="119">
        <v>251</v>
      </c>
      <c r="H232" s="120">
        <f t="shared" si="24"/>
        <v>12.210526315789474</v>
      </c>
      <c r="I232" s="119">
        <v>210</v>
      </c>
      <c r="J232" s="120">
        <f t="shared" si="24"/>
        <v>-0.1633466135458167</v>
      </c>
      <c r="K232" s="119">
        <v>220</v>
      </c>
      <c r="L232" s="120">
        <f t="shared" si="24"/>
        <v>4.7619047619047672E-2</v>
      </c>
      <c r="M232" s="119">
        <v>184</v>
      </c>
      <c r="N232" s="120">
        <f t="shared" si="25"/>
        <v>-0.16363636363636369</v>
      </c>
    </row>
    <row r="233" spans="2:15" x14ac:dyDescent="0.25">
      <c r="B233" s="118" t="s">
        <v>81</v>
      </c>
      <c r="C233" s="119">
        <v>0</v>
      </c>
      <c r="D233" s="120">
        <v>-1</v>
      </c>
      <c r="E233" s="119">
        <v>19</v>
      </c>
      <c r="F233" s="120" t="str">
        <f t="shared" si="24"/>
        <v>-</v>
      </c>
      <c r="G233" s="119">
        <v>88</v>
      </c>
      <c r="H233" s="120">
        <f t="shared" si="24"/>
        <v>3.6315789473684212</v>
      </c>
      <c r="I233" s="119">
        <v>51</v>
      </c>
      <c r="J233" s="120">
        <f t="shared" si="24"/>
        <v>-0.42045454545454541</v>
      </c>
      <c r="K233" s="119">
        <v>37</v>
      </c>
      <c r="L233" s="120">
        <f t="shared" si="24"/>
        <v>-0.27450980392156865</v>
      </c>
      <c r="M233" s="119">
        <v>24</v>
      </c>
      <c r="N233" s="120">
        <f t="shared" si="25"/>
        <v>-0.35135135135135132</v>
      </c>
    </row>
    <row r="234" spans="2:15" x14ac:dyDescent="0.25">
      <c r="B234" s="118" t="s">
        <v>83</v>
      </c>
      <c r="C234" s="119">
        <v>0</v>
      </c>
      <c r="D234" s="120">
        <v>-1</v>
      </c>
      <c r="E234" s="119">
        <v>15</v>
      </c>
      <c r="F234" s="120" t="str">
        <f t="shared" si="24"/>
        <v>-</v>
      </c>
      <c r="G234" s="119">
        <v>91</v>
      </c>
      <c r="H234" s="120">
        <f t="shared" si="24"/>
        <v>5.0666666666666664</v>
      </c>
      <c r="I234" s="119">
        <v>162</v>
      </c>
      <c r="J234" s="120">
        <f t="shared" si="24"/>
        <v>0.78021978021978011</v>
      </c>
      <c r="K234" s="119">
        <v>228</v>
      </c>
      <c r="L234" s="120">
        <f t="shared" si="24"/>
        <v>0.40740740740740744</v>
      </c>
      <c r="M234" s="119">
        <v>75</v>
      </c>
      <c r="N234" s="120">
        <f t="shared" si="25"/>
        <v>-0.67105263157894735</v>
      </c>
    </row>
    <row r="235" spans="2:15" x14ac:dyDescent="0.25">
      <c r="B235" s="118" t="s">
        <v>85</v>
      </c>
      <c r="C235" s="119">
        <v>0</v>
      </c>
      <c r="D235" s="120">
        <v>-1</v>
      </c>
      <c r="E235" s="119">
        <v>109</v>
      </c>
      <c r="F235" s="120" t="str">
        <f t="shared" si="24"/>
        <v>-</v>
      </c>
      <c r="G235" s="119">
        <v>118</v>
      </c>
      <c r="H235" s="120">
        <f t="shared" si="24"/>
        <v>8.256880733944949E-2</v>
      </c>
      <c r="I235" s="119">
        <v>144</v>
      </c>
      <c r="J235" s="120">
        <f t="shared" si="24"/>
        <v>0.22033898305084754</v>
      </c>
      <c r="K235" s="119">
        <v>319</v>
      </c>
      <c r="L235" s="120">
        <f t="shared" si="24"/>
        <v>1.2152777777777777</v>
      </c>
      <c r="M235" s="119"/>
      <c r="N235" s="120"/>
    </row>
    <row r="236" spans="2:15" x14ac:dyDescent="0.25">
      <c r="B236" s="118" t="s">
        <v>87</v>
      </c>
      <c r="C236" s="119">
        <v>11</v>
      </c>
      <c r="D236" s="120">
        <v>-0.94387755102040816</v>
      </c>
      <c r="E236" s="119">
        <v>72</v>
      </c>
      <c r="F236" s="120">
        <f t="shared" si="24"/>
        <v>5.5454545454545459</v>
      </c>
      <c r="G236" s="119">
        <v>75</v>
      </c>
      <c r="H236" s="120">
        <f t="shared" si="24"/>
        <v>4.1666666666666741E-2</v>
      </c>
      <c r="I236" s="119">
        <v>234</v>
      </c>
      <c r="J236" s="120">
        <f t="shared" si="24"/>
        <v>2.12</v>
      </c>
      <c r="K236" s="119">
        <v>102</v>
      </c>
      <c r="L236" s="120">
        <f t="shared" si="24"/>
        <v>-0.5641025641025641</v>
      </c>
      <c r="M236" s="119"/>
      <c r="N236" s="120"/>
    </row>
    <row r="237" spans="2:15" x14ac:dyDescent="0.25">
      <c r="B237" s="118" t="s">
        <v>89</v>
      </c>
      <c r="C237" s="119">
        <v>0</v>
      </c>
      <c r="D237" s="120">
        <v>-1</v>
      </c>
      <c r="E237" s="119">
        <v>58</v>
      </c>
      <c r="F237" s="120" t="str">
        <f t="shared" si="24"/>
        <v>-</v>
      </c>
      <c r="G237" s="119">
        <v>50</v>
      </c>
      <c r="H237" s="120">
        <f t="shared" si="24"/>
        <v>-0.13793103448275867</v>
      </c>
      <c r="I237" s="119">
        <v>136</v>
      </c>
      <c r="J237" s="120">
        <f t="shared" si="24"/>
        <v>1.7200000000000002</v>
      </c>
      <c r="K237" s="119">
        <v>55</v>
      </c>
      <c r="L237" s="120">
        <f t="shared" si="24"/>
        <v>-0.59558823529411764</v>
      </c>
      <c r="M237" s="119"/>
      <c r="N237" s="120"/>
    </row>
    <row r="238" spans="2:15" x14ac:dyDescent="0.25">
      <c r="B238" s="118" t="s">
        <v>91</v>
      </c>
      <c r="C238" s="119">
        <v>45</v>
      </c>
      <c r="D238" s="120">
        <v>-0.73214285714285721</v>
      </c>
      <c r="E238" s="119">
        <v>250</v>
      </c>
      <c r="F238" s="120">
        <f t="shared" si="24"/>
        <v>4.5555555555555554</v>
      </c>
      <c r="G238" s="119">
        <v>275</v>
      </c>
      <c r="H238" s="120">
        <f t="shared" si="24"/>
        <v>0.10000000000000009</v>
      </c>
      <c r="I238" s="119">
        <v>223</v>
      </c>
      <c r="J238" s="120">
        <f t="shared" si="24"/>
        <v>-0.18909090909090909</v>
      </c>
      <c r="K238" s="119">
        <v>251</v>
      </c>
      <c r="L238" s="120">
        <f t="shared" si="24"/>
        <v>0.12556053811659185</v>
      </c>
      <c r="M238" s="119"/>
      <c r="N238" s="120"/>
    </row>
    <row r="239" spans="2:15" x14ac:dyDescent="0.25">
      <c r="B239" s="118" t="s">
        <v>93</v>
      </c>
      <c r="C239" s="119">
        <v>18</v>
      </c>
      <c r="D239" s="120">
        <v>-0.94321766561514198</v>
      </c>
      <c r="E239" s="119">
        <v>419</v>
      </c>
      <c r="F239" s="120">
        <f t="shared" si="24"/>
        <v>22.277777777777779</v>
      </c>
      <c r="G239" s="119">
        <v>369</v>
      </c>
      <c r="H239" s="120">
        <f t="shared" si="24"/>
        <v>-0.11933174224343679</v>
      </c>
      <c r="I239" s="119">
        <v>445</v>
      </c>
      <c r="J239" s="120">
        <f t="shared" si="24"/>
        <v>0.20596205962059622</v>
      </c>
      <c r="K239" s="119">
        <v>252</v>
      </c>
      <c r="L239" s="120">
        <f t="shared" si="24"/>
        <v>-0.43370786516853932</v>
      </c>
      <c r="M239" s="119"/>
      <c r="N239" s="120"/>
    </row>
    <row r="240" spans="2:15" x14ac:dyDescent="0.25">
      <c r="B240" s="118" t="s">
        <v>95</v>
      </c>
      <c r="C240" s="119">
        <v>13</v>
      </c>
      <c r="D240" s="120">
        <v>-0.9709821428571429</v>
      </c>
      <c r="E240" s="119">
        <v>464</v>
      </c>
      <c r="F240" s="120">
        <f t="shared" si="24"/>
        <v>34.692307692307693</v>
      </c>
      <c r="G240" s="119">
        <v>400</v>
      </c>
      <c r="H240" s="120">
        <f t="shared" si="24"/>
        <v>-0.13793103448275867</v>
      </c>
      <c r="I240" s="119">
        <v>442</v>
      </c>
      <c r="J240" s="120">
        <f t="shared" si="24"/>
        <v>0.10499999999999998</v>
      </c>
      <c r="K240" s="119">
        <v>377</v>
      </c>
      <c r="L240" s="120">
        <f t="shared" si="24"/>
        <v>-0.1470588235294118</v>
      </c>
      <c r="M240" s="119"/>
      <c r="N240" s="120"/>
    </row>
    <row r="241" spans="2:15" ht="15.75" x14ac:dyDescent="0.25">
      <c r="B241" s="121" t="s">
        <v>32</v>
      </c>
      <c r="C241" s="122">
        <v>1701</v>
      </c>
      <c r="D241" s="123">
        <v>-0.60469439925633273</v>
      </c>
      <c r="E241" s="122">
        <v>1442</v>
      </c>
      <c r="F241" s="123">
        <f t="shared" si="24"/>
        <v>-0.15226337448559668</v>
      </c>
      <c r="G241" s="122">
        <v>2747</v>
      </c>
      <c r="H241" s="123">
        <f t="shared" si="24"/>
        <v>0.90499306518723999</v>
      </c>
      <c r="I241" s="122">
        <v>3505</v>
      </c>
      <c r="J241" s="123">
        <f t="shared" si="24"/>
        <v>0.27593738623953401</v>
      </c>
      <c r="K241" s="122">
        <v>3870</v>
      </c>
      <c r="L241" s="123">
        <f t="shared" si="24"/>
        <v>0.10413694721825961</v>
      </c>
      <c r="M241" s="122">
        <v>1669</v>
      </c>
      <c r="N241" s="123">
        <v>-0.3361177406523469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4"/>
      <c r="K244" s="124"/>
      <c r="N244" s="81"/>
    </row>
    <row r="250" spans="2:15" ht="48.75" customHeight="1" thickBot="1" x14ac:dyDescent="0.3">
      <c r="B250" s="278" t="s">
        <v>281</v>
      </c>
      <c r="C250" s="278"/>
      <c r="D250" s="278"/>
      <c r="E250" s="278"/>
      <c r="F250" s="278"/>
      <c r="G250" s="278"/>
      <c r="H250" s="278"/>
      <c r="I250" s="278"/>
      <c r="J250" s="278"/>
      <c r="K250" s="278"/>
      <c r="L250" s="278"/>
      <c r="M250" s="278"/>
      <c r="N250" s="278"/>
      <c r="O250" s="1" t="s">
        <v>149</v>
      </c>
    </row>
    <row r="251" spans="2:15" ht="10.5" customHeight="1" thickBot="1" x14ac:dyDescent="0.3">
      <c r="B251" s="108"/>
      <c r="C251" s="109"/>
      <c r="D251" s="108"/>
      <c r="E251" s="108"/>
      <c r="F251" s="108"/>
      <c r="G251" s="108"/>
      <c r="H251" s="108"/>
      <c r="I251" s="108"/>
      <c r="J251" s="108"/>
      <c r="K251" s="108"/>
      <c r="L251" s="108"/>
      <c r="M251" s="4"/>
      <c r="N251" s="4"/>
      <c r="O251" s="1" t="s">
        <v>150</v>
      </c>
    </row>
    <row r="252" spans="2:15" ht="22.5" thickTop="1" thickBot="1" x14ac:dyDescent="0.3">
      <c r="B252" s="125" t="str">
        <f>C252</f>
        <v>Suecia</v>
      </c>
      <c r="C252" s="303" t="s">
        <v>133</v>
      </c>
      <c r="D252" s="304"/>
      <c r="E252" s="304"/>
      <c r="F252" s="304"/>
      <c r="G252" s="304"/>
      <c r="H252" s="304"/>
      <c r="I252" s="304"/>
      <c r="J252" s="304"/>
      <c r="K252" s="304"/>
      <c r="L252" s="304"/>
      <c r="M252" s="304"/>
      <c r="N252" s="304"/>
    </row>
    <row r="253" spans="2:15" ht="22.5" thickTop="1" thickBot="1" x14ac:dyDescent="0.3">
      <c r="B253" s="111"/>
      <c r="C253" s="305">
        <f>$C$7</f>
        <v>2020</v>
      </c>
      <c r="D253" s="306"/>
      <c r="E253" s="307">
        <f>$E$7</f>
        <v>2021</v>
      </c>
      <c r="F253" s="306"/>
      <c r="G253" s="307">
        <f>$G$7</f>
        <v>2022</v>
      </c>
      <c r="H253" s="306"/>
      <c r="I253" s="307">
        <f>$I$7</f>
        <v>2023</v>
      </c>
      <c r="J253" s="306"/>
      <c r="K253" s="307">
        <f>$K$7</f>
        <v>2024</v>
      </c>
      <c r="L253" s="306"/>
      <c r="M253" s="307">
        <f>$M$7</f>
        <v>2025</v>
      </c>
      <c r="N253" s="308"/>
    </row>
    <row r="254" spans="2:15" ht="16.5" thickTop="1" thickBot="1" x14ac:dyDescent="0.3">
      <c r="B254" s="87"/>
      <c r="C254" s="115" t="s">
        <v>71</v>
      </c>
      <c r="D254" s="116" t="str">
        <f>CONCATENATE("var. ",RIGHT(C253,2),"/",RIGHT(C253-1,2))</f>
        <v>var. 20/19</v>
      </c>
      <c r="E254" s="117" t="s">
        <v>71</v>
      </c>
      <c r="F254" s="116" t="s">
        <v>248</v>
      </c>
      <c r="G254" s="117" t="s">
        <v>71</v>
      </c>
      <c r="H254" s="116" t="s">
        <v>248</v>
      </c>
      <c r="I254" s="117" t="s">
        <v>71</v>
      </c>
      <c r="J254" s="116" t="s">
        <v>248</v>
      </c>
      <c r="K254" s="117" t="s">
        <v>71</v>
      </c>
      <c r="L254" s="116" t="s">
        <v>248</v>
      </c>
      <c r="M254" s="117" t="s">
        <v>71</v>
      </c>
      <c r="N254" s="116" t="s">
        <v>271</v>
      </c>
    </row>
    <row r="255" spans="2:15" x14ac:dyDescent="0.25">
      <c r="B255" s="118" t="s">
        <v>73</v>
      </c>
      <c r="C255" s="119">
        <v>814</v>
      </c>
      <c r="D255" s="120">
        <v>-0.25114995400183993</v>
      </c>
      <c r="E255" s="119">
        <v>32</v>
      </c>
      <c r="F255" s="120">
        <f t="shared" ref="F255:L267" si="26">IFERROR(E255/C255-1,"-")</f>
        <v>-0.9606879606879607</v>
      </c>
      <c r="G255" s="119">
        <v>571</v>
      </c>
      <c r="H255" s="120">
        <f t="shared" si="26"/>
        <v>16.84375</v>
      </c>
      <c r="I255" s="119">
        <v>1003</v>
      </c>
      <c r="J255" s="120">
        <f t="shared" si="26"/>
        <v>0.75656742556917678</v>
      </c>
      <c r="K255" s="119">
        <v>905</v>
      </c>
      <c r="L255" s="120">
        <f t="shared" si="26"/>
        <v>-9.7706879361914245E-2</v>
      </c>
      <c r="M255" s="119">
        <v>985</v>
      </c>
      <c r="N255" s="120">
        <f t="shared" ref="N255:N260" si="27">IFERROR(M255/K255-1,"-")</f>
        <v>8.8397790055248615E-2</v>
      </c>
    </row>
    <row r="256" spans="2:15" x14ac:dyDescent="0.25">
      <c r="B256" s="118" t="s">
        <v>75</v>
      </c>
      <c r="C256" s="119">
        <v>745</v>
      </c>
      <c r="D256" s="120">
        <v>-0.21080508474576276</v>
      </c>
      <c r="E256" s="119">
        <v>17</v>
      </c>
      <c r="F256" s="120">
        <f t="shared" si="26"/>
        <v>-0.97718120805369124</v>
      </c>
      <c r="G256" s="119">
        <v>551</v>
      </c>
      <c r="H256" s="120">
        <f t="shared" si="26"/>
        <v>31.411764705882355</v>
      </c>
      <c r="I256" s="119">
        <v>608</v>
      </c>
      <c r="J256" s="120">
        <f t="shared" si="26"/>
        <v>0.10344827586206895</v>
      </c>
      <c r="K256" s="119">
        <v>788</v>
      </c>
      <c r="L256" s="120">
        <f t="shared" si="26"/>
        <v>0.29605263157894735</v>
      </c>
      <c r="M256" s="119">
        <v>653</v>
      </c>
      <c r="N256" s="120">
        <f t="shared" si="27"/>
        <v>-0.17131979695431476</v>
      </c>
    </row>
    <row r="257" spans="2:14" x14ac:dyDescent="0.25">
      <c r="B257" s="118" t="s">
        <v>77</v>
      </c>
      <c r="C257" s="119">
        <v>339</v>
      </c>
      <c r="D257" s="120">
        <v>-0.57940446650124078</v>
      </c>
      <c r="E257" s="119">
        <v>48</v>
      </c>
      <c r="F257" s="120">
        <f t="shared" si="26"/>
        <v>-0.8584070796460177</v>
      </c>
      <c r="G257" s="119">
        <v>386</v>
      </c>
      <c r="H257" s="120">
        <f t="shared" si="26"/>
        <v>7.0416666666666661</v>
      </c>
      <c r="I257" s="119">
        <v>626</v>
      </c>
      <c r="J257" s="120">
        <f t="shared" si="26"/>
        <v>0.62176165803108807</v>
      </c>
      <c r="K257" s="119">
        <v>694</v>
      </c>
      <c r="L257" s="120">
        <f t="shared" si="26"/>
        <v>0.10862619808306717</v>
      </c>
      <c r="M257" s="119">
        <v>528</v>
      </c>
      <c r="N257" s="120">
        <f t="shared" si="27"/>
        <v>-0.23919308357348701</v>
      </c>
    </row>
    <row r="258" spans="2:14" x14ac:dyDescent="0.25">
      <c r="B258" s="118" t="s">
        <v>79</v>
      </c>
      <c r="C258" s="119">
        <v>0</v>
      </c>
      <c r="D258" s="120">
        <v>-1</v>
      </c>
      <c r="E258" s="119">
        <v>105</v>
      </c>
      <c r="F258" s="120" t="str">
        <f t="shared" si="26"/>
        <v>-</v>
      </c>
      <c r="G258" s="119">
        <v>324</v>
      </c>
      <c r="H258" s="120">
        <f t="shared" si="26"/>
        <v>2.0857142857142859</v>
      </c>
      <c r="I258" s="119">
        <v>411</v>
      </c>
      <c r="J258" s="120">
        <f t="shared" si="26"/>
        <v>0.2685185185185186</v>
      </c>
      <c r="K258" s="119">
        <v>581</v>
      </c>
      <c r="L258" s="120">
        <f t="shared" si="26"/>
        <v>0.41362530413625298</v>
      </c>
      <c r="M258" s="119">
        <v>256</v>
      </c>
      <c r="N258" s="120">
        <f t="shared" si="27"/>
        <v>-0.55938037865748713</v>
      </c>
    </row>
    <row r="259" spans="2:14" x14ac:dyDescent="0.25">
      <c r="B259" s="118" t="s">
        <v>81</v>
      </c>
      <c r="C259" s="119">
        <v>0</v>
      </c>
      <c r="D259" s="120">
        <v>-1</v>
      </c>
      <c r="E259" s="119">
        <v>56</v>
      </c>
      <c r="F259" s="120" t="str">
        <f t="shared" si="26"/>
        <v>-</v>
      </c>
      <c r="G259" s="119">
        <v>196</v>
      </c>
      <c r="H259" s="120">
        <f t="shared" si="26"/>
        <v>2.5</v>
      </c>
      <c r="I259" s="119">
        <v>95</v>
      </c>
      <c r="J259" s="120">
        <f t="shared" si="26"/>
        <v>-0.51530612244897966</v>
      </c>
      <c r="K259" s="119">
        <v>78</v>
      </c>
      <c r="L259" s="120">
        <f t="shared" si="26"/>
        <v>-0.17894736842105263</v>
      </c>
      <c r="M259" s="119">
        <v>122</v>
      </c>
      <c r="N259" s="120">
        <f t="shared" si="27"/>
        <v>0.5641025641025641</v>
      </c>
    </row>
    <row r="260" spans="2:14" x14ac:dyDescent="0.25">
      <c r="B260" s="118" t="s">
        <v>83</v>
      </c>
      <c r="C260" s="119">
        <v>0</v>
      </c>
      <c r="D260" s="120">
        <v>-1</v>
      </c>
      <c r="E260" s="119">
        <v>61</v>
      </c>
      <c r="F260" s="120" t="str">
        <f t="shared" si="26"/>
        <v>-</v>
      </c>
      <c r="G260" s="119">
        <v>343</v>
      </c>
      <c r="H260" s="120">
        <f t="shared" si="26"/>
        <v>4.6229508196721314</v>
      </c>
      <c r="I260" s="119">
        <v>78</v>
      </c>
      <c r="J260" s="120">
        <f t="shared" si="26"/>
        <v>-0.77259475218658891</v>
      </c>
      <c r="K260" s="119">
        <v>57</v>
      </c>
      <c r="L260" s="120">
        <f t="shared" si="26"/>
        <v>-0.26923076923076927</v>
      </c>
      <c r="M260" s="119">
        <v>74</v>
      </c>
      <c r="N260" s="120">
        <f t="shared" si="27"/>
        <v>0.29824561403508776</v>
      </c>
    </row>
    <row r="261" spans="2:14" x14ac:dyDescent="0.25">
      <c r="B261" s="118" t="s">
        <v>85</v>
      </c>
      <c r="C261" s="119">
        <v>0</v>
      </c>
      <c r="D261" s="120">
        <v>-1</v>
      </c>
      <c r="E261" s="119">
        <v>94</v>
      </c>
      <c r="F261" s="120" t="str">
        <f t="shared" si="26"/>
        <v>-</v>
      </c>
      <c r="G261" s="119">
        <v>64</v>
      </c>
      <c r="H261" s="120">
        <f t="shared" si="26"/>
        <v>-0.31914893617021278</v>
      </c>
      <c r="I261" s="119">
        <v>141</v>
      </c>
      <c r="J261" s="120">
        <f t="shared" si="26"/>
        <v>1.203125</v>
      </c>
      <c r="K261" s="119">
        <v>175</v>
      </c>
      <c r="L261" s="120">
        <f t="shared" si="26"/>
        <v>0.24113475177304955</v>
      </c>
      <c r="M261" s="119"/>
      <c r="N261" s="120"/>
    </row>
    <row r="262" spans="2:14" x14ac:dyDescent="0.25">
      <c r="B262" s="118" t="s">
        <v>87</v>
      </c>
      <c r="C262" s="119">
        <v>24</v>
      </c>
      <c r="D262" s="120">
        <v>-0.85185185185185186</v>
      </c>
      <c r="E262" s="119">
        <v>62</v>
      </c>
      <c r="F262" s="120">
        <f t="shared" si="26"/>
        <v>1.5833333333333335</v>
      </c>
      <c r="G262" s="119">
        <v>25</v>
      </c>
      <c r="H262" s="120">
        <f t="shared" si="26"/>
        <v>-0.59677419354838712</v>
      </c>
      <c r="I262" s="119">
        <v>102</v>
      </c>
      <c r="J262" s="120">
        <f t="shared" si="26"/>
        <v>3.08</v>
      </c>
      <c r="K262" s="119">
        <v>168</v>
      </c>
      <c r="L262" s="120">
        <f t="shared" si="26"/>
        <v>0.64705882352941169</v>
      </c>
      <c r="M262" s="119"/>
      <c r="N262" s="120"/>
    </row>
    <row r="263" spans="2:14" x14ac:dyDescent="0.25">
      <c r="B263" s="118" t="s">
        <v>89</v>
      </c>
      <c r="C263" s="119">
        <v>63</v>
      </c>
      <c r="D263" s="120">
        <v>-0.37623762376237624</v>
      </c>
      <c r="E263" s="119">
        <v>113</v>
      </c>
      <c r="F263" s="120">
        <f t="shared" si="26"/>
        <v>0.79365079365079372</v>
      </c>
      <c r="G263" s="119">
        <v>73</v>
      </c>
      <c r="H263" s="120">
        <f t="shared" si="26"/>
        <v>-0.35398230088495575</v>
      </c>
      <c r="I263" s="119">
        <v>105</v>
      </c>
      <c r="J263" s="120">
        <f t="shared" si="26"/>
        <v>0.43835616438356162</v>
      </c>
      <c r="K263" s="119">
        <v>48</v>
      </c>
      <c r="L263" s="120">
        <f t="shared" si="26"/>
        <v>-0.54285714285714293</v>
      </c>
      <c r="M263" s="119"/>
      <c r="N263" s="120"/>
    </row>
    <row r="264" spans="2:14" x14ac:dyDescent="0.25">
      <c r="B264" s="118" t="s">
        <v>91</v>
      </c>
      <c r="C264" s="119">
        <v>33</v>
      </c>
      <c r="D264" s="120">
        <v>-0.93008474576271183</v>
      </c>
      <c r="E264" s="119">
        <v>242</v>
      </c>
      <c r="F264" s="120">
        <f t="shared" si="26"/>
        <v>6.333333333333333</v>
      </c>
      <c r="G264" s="119">
        <v>286</v>
      </c>
      <c r="H264" s="120">
        <f t="shared" si="26"/>
        <v>0.18181818181818188</v>
      </c>
      <c r="I264" s="119">
        <v>452</v>
      </c>
      <c r="J264" s="120">
        <f t="shared" si="26"/>
        <v>0.58041958041958042</v>
      </c>
      <c r="K264" s="119">
        <v>379</v>
      </c>
      <c r="L264" s="120">
        <f t="shared" si="26"/>
        <v>-0.16150442477876104</v>
      </c>
      <c r="M264" s="119"/>
      <c r="N264" s="120"/>
    </row>
    <row r="265" spans="2:14" x14ac:dyDescent="0.25">
      <c r="B265" s="118" t="s">
        <v>93</v>
      </c>
      <c r="C265" s="119">
        <v>49</v>
      </c>
      <c r="D265" s="120">
        <v>-0.92449922958397535</v>
      </c>
      <c r="E265" s="119">
        <v>453</v>
      </c>
      <c r="F265" s="120">
        <f t="shared" si="26"/>
        <v>8.2448979591836729</v>
      </c>
      <c r="G265" s="119">
        <v>541</v>
      </c>
      <c r="H265" s="120">
        <f t="shared" si="26"/>
        <v>0.19426048565121423</v>
      </c>
      <c r="I265" s="119">
        <v>635</v>
      </c>
      <c r="J265" s="120">
        <f t="shared" si="26"/>
        <v>0.17375231053604434</v>
      </c>
      <c r="K265" s="119">
        <v>655</v>
      </c>
      <c r="L265" s="120">
        <f t="shared" si="26"/>
        <v>3.1496062992125928E-2</v>
      </c>
      <c r="M265" s="119"/>
      <c r="N265" s="120"/>
    </row>
    <row r="266" spans="2:14" x14ac:dyDescent="0.25">
      <c r="B266" s="118" t="s">
        <v>95</v>
      </c>
      <c r="C266" s="119">
        <v>47</v>
      </c>
      <c r="D266" s="120">
        <v>-0.9438470728793309</v>
      </c>
      <c r="E266" s="119">
        <v>727</v>
      </c>
      <c r="F266" s="120">
        <f t="shared" si="26"/>
        <v>14.468085106382979</v>
      </c>
      <c r="G266" s="119">
        <v>662</v>
      </c>
      <c r="H266" s="120">
        <f t="shared" si="26"/>
        <v>-8.9408528198074322E-2</v>
      </c>
      <c r="I266" s="119">
        <v>656</v>
      </c>
      <c r="J266" s="120">
        <f t="shared" si="26"/>
        <v>-9.0634441087613649E-3</v>
      </c>
      <c r="K266" s="119">
        <v>889</v>
      </c>
      <c r="L266" s="120">
        <f t="shared" si="26"/>
        <v>0.35518292682926833</v>
      </c>
      <c r="M266" s="119"/>
      <c r="N266" s="120"/>
    </row>
    <row r="267" spans="2:14" ht="15.75" x14ac:dyDescent="0.25">
      <c r="B267" s="121" t="s">
        <v>32</v>
      </c>
      <c r="C267" s="122">
        <v>2155</v>
      </c>
      <c r="D267" s="123">
        <v>-0.63344106140500078</v>
      </c>
      <c r="E267" s="122">
        <v>2010</v>
      </c>
      <c r="F267" s="123">
        <f t="shared" si="26"/>
        <v>-6.7285382830626461E-2</v>
      </c>
      <c r="G267" s="122">
        <v>4022</v>
      </c>
      <c r="H267" s="123">
        <f t="shared" si="26"/>
        <v>1.0009950248756221</v>
      </c>
      <c r="I267" s="122">
        <v>4912</v>
      </c>
      <c r="J267" s="123">
        <f t="shared" si="26"/>
        <v>0.22128294380905023</v>
      </c>
      <c r="K267" s="122">
        <v>5417</v>
      </c>
      <c r="L267" s="123">
        <f t="shared" si="26"/>
        <v>0.10280944625407162</v>
      </c>
      <c r="M267" s="122">
        <v>2618</v>
      </c>
      <c r="N267" s="123">
        <v>-0.15630035449564939</v>
      </c>
    </row>
    <row r="268" spans="2:14" ht="6" customHeight="1" x14ac:dyDescent="0.25"/>
    <row r="269" spans="2:14" x14ac:dyDescent="0.25">
      <c r="B269" s="107" t="s">
        <v>57</v>
      </c>
      <c r="C269" s="107"/>
      <c r="D269" s="107"/>
      <c r="E269" s="107"/>
      <c r="F269" s="107"/>
      <c r="G269" s="107"/>
      <c r="H269" s="107"/>
      <c r="I269" s="107"/>
      <c r="J269" s="107"/>
      <c r="K269" s="107"/>
      <c r="L269" s="107"/>
      <c r="M269" s="107"/>
      <c r="N269" s="107"/>
    </row>
    <row r="270" spans="2:14" x14ac:dyDescent="0.25">
      <c r="C270" s="124"/>
      <c r="K270" s="124"/>
      <c r="N270" s="81"/>
    </row>
  </sheetData>
  <mergeCells count="96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  <mergeCell ref="B92:N92"/>
    <mergeCell ref="C94:N94"/>
    <mergeCell ref="C95:D95"/>
    <mergeCell ref="E95:F95"/>
    <mergeCell ref="G95:H95"/>
    <mergeCell ref="I95:J95"/>
    <mergeCell ref="K95:L95"/>
    <mergeCell ref="M95:N95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50:N250"/>
    <mergeCell ref="C252:N252"/>
    <mergeCell ref="C253:D253"/>
    <mergeCell ref="E253:F253"/>
    <mergeCell ref="G253:H253"/>
    <mergeCell ref="I253:J253"/>
    <mergeCell ref="K253:L253"/>
    <mergeCell ref="M253:N253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BFF750-BFC7-4BA2-8BCB-96447A8DA363}">
  <sheetPr>
    <tabColor rgb="FFF29140"/>
  </sheetPr>
  <dimension ref="A4:O9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4" max="4" width="12.140625" bestFit="1" customWidth="1"/>
    <col min="14" max="14" width="13.5703125" bestFit="1" customWidth="1"/>
  </cols>
  <sheetData>
    <row r="4" spans="1:15" ht="48.75" customHeight="1" thickBot="1" x14ac:dyDescent="0.3">
      <c r="B4" s="278" t="s">
        <v>269</v>
      </c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3" t="s">
        <v>134</v>
      </c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</row>
    <row r="7" spans="1:15" ht="22.5" thickTop="1" thickBot="1" x14ac:dyDescent="0.3">
      <c r="B7" s="111"/>
      <c r="C7" s="307">
        <f>E7-1</f>
        <v>2020</v>
      </c>
      <c r="D7" s="306"/>
      <c r="E7" s="307">
        <f>G7-1</f>
        <v>2021</v>
      </c>
      <c r="F7" s="306"/>
      <c r="G7" s="307">
        <f>I7-1</f>
        <v>2022</v>
      </c>
      <c r="H7" s="306"/>
      <c r="I7" s="307">
        <f>K7-1</f>
        <v>2023</v>
      </c>
      <c r="J7" s="306"/>
      <c r="K7" s="307">
        <f>M7-1</f>
        <v>2024</v>
      </c>
      <c r="L7" s="306"/>
      <c r="M7" s="307">
        <v>2025</v>
      </c>
      <c r="N7" s="308"/>
    </row>
    <row r="8" spans="1:15" ht="16.5" thickTop="1" thickBot="1" x14ac:dyDescent="0.3">
      <c r="B8" s="87"/>
      <c r="C8" s="115" t="s">
        <v>71</v>
      </c>
      <c r="D8" s="116" t="str">
        <f>CONCATENATE("var ",RIGHT(C7,2),"/",RIGHT(C7-1,2))</f>
        <v>var 20/19</v>
      </c>
      <c r="E8" s="117" t="s">
        <v>71</v>
      </c>
      <c r="F8" s="116" t="str">
        <f>CONCATENATE("var ",RIGHT(E7,2),"/",RIGHT(C7,2))</f>
        <v>var 21/20</v>
      </c>
      <c r="G8" s="117" t="s">
        <v>71</v>
      </c>
      <c r="H8" s="116" t="str">
        <f>CONCATENATE("var ",RIGHT(G7,2),"/",RIGHT(E7,2))</f>
        <v>var 22/21</v>
      </c>
      <c r="I8" s="117" t="s">
        <v>71</v>
      </c>
      <c r="J8" s="116" t="str">
        <f>CONCATENATE("var ",RIGHT(I7,2),"/",RIGHT(G7,2))</f>
        <v>var 23/22</v>
      </c>
      <c r="K8" s="117" t="s">
        <v>71</v>
      </c>
      <c r="L8" s="116" t="str">
        <f>CONCATENATE("var ",RIGHT(K7,2),"/",RIGHT(I7,2))</f>
        <v>var 24/23</v>
      </c>
      <c r="M8" s="117" t="s">
        <v>71</v>
      </c>
      <c r="N8" s="116" t="str">
        <f>CONCATENATE("var ",RIGHT(M7,2),"/",RIGHT(K7,2))</f>
        <v>var 25/24</v>
      </c>
    </row>
    <row r="9" spans="1:15" x14ac:dyDescent="0.25">
      <c r="A9" s="1" t="s">
        <v>72</v>
      </c>
      <c r="B9" s="118" t="s">
        <v>73</v>
      </c>
      <c r="C9" s="119">
        <v>46163</v>
      </c>
      <c r="D9" s="120">
        <v>-7.8546049742504676E-2</v>
      </c>
      <c r="E9" s="119">
        <v>9068</v>
      </c>
      <c r="F9" s="120">
        <f t="shared" ref="F9:L21" si="0">IFERROR(E9/C9-1,"-")</f>
        <v>-0.80356562615081339</v>
      </c>
      <c r="G9" s="119">
        <v>40065</v>
      </c>
      <c r="H9" s="120">
        <f t="shared" si="0"/>
        <v>3.4182840758711954</v>
      </c>
      <c r="I9" s="119">
        <v>59578</v>
      </c>
      <c r="J9" s="120">
        <f t="shared" si="0"/>
        <v>0.48703357044802198</v>
      </c>
      <c r="K9" s="119">
        <v>62651</v>
      </c>
      <c r="L9" s="120">
        <f t="shared" si="0"/>
        <v>5.1579442075934123E-2</v>
      </c>
      <c r="M9" s="119">
        <v>57077</v>
      </c>
      <c r="N9" s="120">
        <f t="shared" ref="N9:N14" si="1">IFERROR(M9/K9-1,"-")</f>
        <v>-8.8969050773331615E-2</v>
      </c>
    </row>
    <row r="10" spans="1:15" x14ac:dyDescent="0.25">
      <c r="A10" s="1" t="s">
        <v>74</v>
      </c>
      <c r="B10" s="118" t="s">
        <v>75</v>
      </c>
      <c r="C10" s="119">
        <v>51846</v>
      </c>
      <c r="D10" s="120">
        <v>9.6411275826337128E-2</v>
      </c>
      <c r="E10" s="119">
        <v>15142</v>
      </c>
      <c r="F10" s="120">
        <f t="shared" si="0"/>
        <v>-0.70794275353932801</v>
      </c>
      <c r="G10" s="119">
        <v>41909</v>
      </c>
      <c r="H10" s="120">
        <f t="shared" si="0"/>
        <v>1.7677321357812708</v>
      </c>
      <c r="I10" s="119">
        <v>52194</v>
      </c>
      <c r="J10" s="120">
        <f t="shared" si="0"/>
        <v>0.24541267985396931</v>
      </c>
      <c r="K10" s="119">
        <v>55957</v>
      </c>
      <c r="L10" s="120">
        <f t="shared" si="0"/>
        <v>7.2096409548990215E-2</v>
      </c>
      <c r="M10" s="119">
        <v>52638</v>
      </c>
      <c r="N10" s="120">
        <f t="shared" si="1"/>
        <v>-5.9313401361759888E-2</v>
      </c>
    </row>
    <row r="11" spans="1:15" x14ac:dyDescent="0.25">
      <c r="A11" s="1" t="s">
        <v>76</v>
      </c>
      <c r="B11" s="118" t="s">
        <v>77</v>
      </c>
      <c r="C11" s="119">
        <v>20252</v>
      </c>
      <c r="D11" s="120">
        <v>-0.59010686528497414</v>
      </c>
      <c r="E11" s="119">
        <v>22329</v>
      </c>
      <c r="F11" s="120">
        <f t="shared" si="0"/>
        <v>0.1025577720718942</v>
      </c>
      <c r="G11" s="119">
        <v>47103</v>
      </c>
      <c r="H11" s="120">
        <f t="shared" si="0"/>
        <v>1.1094988579873708</v>
      </c>
      <c r="I11" s="119">
        <v>58354</v>
      </c>
      <c r="J11" s="120">
        <f t="shared" si="0"/>
        <v>0.23885952062501326</v>
      </c>
      <c r="K11" s="119">
        <v>58643</v>
      </c>
      <c r="L11" s="120">
        <f t="shared" si="0"/>
        <v>4.9525311032663222E-3</v>
      </c>
      <c r="M11" s="119">
        <v>56752</v>
      </c>
      <c r="N11" s="120">
        <f t="shared" si="1"/>
        <v>-3.2245962860017352E-2</v>
      </c>
    </row>
    <row r="12" spans="1:15" x14ac:dyDescent="0.25">
      <c r="A12" s="1" t="s">
        <v>78</v>
      </c>
      <c r="B12" s="118" t="s">
        <v>79</v>
      </c>
      <c r="C12" s="119">
        <v>0</v>
      </c>
      <c r="D12" s="120">
        <v>-1</v>
      </c>
      <c r="E12" s="119">
        <v>19557</v>
      </c>
      <c r="F12" s="120" t="str">
        <f t="shared" si="0"/>
        <v>-</v>
      </c>
      <c r="G12" s="119">
        <v>43531</v>
      </c>
      <c r="H12" s="120">
        <f t="shared" si="0"/>
        <v>1.2258526358848494</v>
      </c>
      <c r="I12" s="119">
        <v>42717</v>
      </c>
      <c r="J12" s="120">
        <f t="shared" si="0"/>
        <v>-1.8699317727596476E-2</v>
      </c>
      <c r="K12" s="119">
        <v>46133</v>
      </c>
      <c r="L12" s="120">
        <f t="shared" si="0"/>
        <v>7.9968162558232025E-2</v>
      </c>
      <c r="M12" s="119">
        <v>47123</v>
      </c>
      <c r="N12" s="120">
        <f t="shared" si="1"/>
        <v>2.1459692627836979E-2</v>
      </c>
    </row>
    <row r="13" spans="1:15" x14ac:dyDescent="0.25">
      <c r="A13" s="1" t="s">
        <v>80</v>
      </c>
      <c r="B13" s="118" t="s">
        <v>81</v>
      </c>
      <c r="C13" s="119">
        <v>0</v>
      </c>
      <c r="D13" s="120">
        <v>-1</v>
      </c>
      <c r="E13" s="119">
        <v>24025</v>
      </c>
      <c r="F13" s="120" t="str">
        <f t="shared" si="0"/>
        <v>-</v>
      </c>
      <c r="G13" s="119">
        <v>44866</v>
      </c>
      <c r="H13" s="120">
        <f t="shared" si="0"/>
        <v>0.8674713839750261</v>
      </c>
      <c r="I13" s="119">
        <v>42611</v>
      </c>
      <c r="J13" s="120">
        <f t="shared" si="0"/>
        <v>-5.0260776534569618E-2</v>
      </c>
      <c r="K13" s="119">
        <v>38316</v>
      </c>
      <c r="L13" s="120">
        <f t="shared" si="0"/>
        <v>-0.10079556921921573</v>
      </c>
      <c r="M13" s="119">
        <v>45582</v>
      </c>
      <c r="N13" s="120">
        <f t="shared" si="1"/>
        <v>0.18963357344190412</v>
      </c>
    </row>
    <row r="14" spans="1:15" x14ac:dyDescent="0.25">
      <c r="A14" s="1" t="s">
        <v>82</v>
      </c>
      <c r="B14" s="118" t="s">
        <v>83</v>
      </c>
      <c r="C14" s="119">
        <v>0</v>
      </c>
      <c r="D14" s="120">
        <v>-1</v>
      </c>
      <c r="E14" s="119">
        <v>26795</v>
      </c>
      <c r="F14" s="120" t="str">
        <f t="shared" si="0"/>
        <v>-</v>
      </c>
      <c r="G14" s="119">
        <v>40470</v>
      </c>
      <c r="H14" s="120">
        <f t="shared" si="0"/>
        <v>0.51035640977794361</v>
      </c>
      <c r="I14" s="119">
        <v>38639</v>
      </c>
      <c r="J14" s="120">
        <f t="shared" si="0"/>
        <v>-4.5243390165554787E-2</v>
      </c>
      <c r="K14" s="119">
        <v>40074</v>
      </c>
      <c r="L14" s="120">
        <f t="shared" si="0"/>
        <v>3.7138642304407554E-2</v>
      </c>
      <c r="M14" s="119">
        <v>42497</v>
      </c>
      <c r="N14" s="120">
        <f t="shared" si="1"/>
        <v>6.0463143185107482E-2</v>
      </c>
    </row>
    <row r="15" spans="1:15" x14ac:dyDescent="0.25">
      <c r="A15" s="1" t="s">
        <v>84</v>
      </c>
      <c r="B15" s="118" t="s">
        <v>85</v>
      </c>
      <c r="C15" s="119">
        <v>0</v>
      </c>
      <c r="D15" s="120">
        <v>-1</v>
      </c>
      <c r="E15" s="119">
        <v>31224</v>
      </c>
      <c r="F15" s="120" t="str">
        <f t="shared" si="0"/>
        <v>-</v>
      </c>
      <c r="G15" s="119">
        <v>43286</v>
      </c>
      <c r="H15" s="120">
        <f t="shared" si="0"/>
        <v>0.38630540609787345</v>
      </c>
      <c r="I15" s="119">
        <v>40407</v>
      </c>
      <c r="J15" s="120">
        <f t="shared" si="0"/>
        <v>-6.651111213787364E-2</v>
      </c>
      <c r="K15" s="119">
        <v>45242</v>
      </c>
      <c r="L15" s="120">
        <f t="shared" si="0"/>
        <v>0.11965748508921714</v>
      </c>
      <c r="M15" s="119"/>
      <c r="N15" s="120"/>
    </row>
    <row r="16" spans="1:15" x14ac:dyDescent="0.25">
      <c r="A16" s="1" t="s">
        <v>86</v>
      </c>
      <c r="B16" s="118" t="s">
        <v>87</v>
      </c>
      <c r="C16" s="119">
        <v>15225</v>
      </c>
      <c r="D16" s="120">
        <v>-0.60673141499199257</v>
      </c>
      <c r="E16" s="119">
        <v>36151</v>
      </c>
      <c r="F16" s="120">
        <f t="shared" si="0"/>
        <v>1.3744499178981937</v>
      </c>
      <c r="G16" s="119">
        <v>41695</v>
      </c>
      <c r="H16" s="120">
        <f t="shared" si="0"/>
        <v>0.15335675361677414</v>
      </c>
      <c r="I16" s="119">
        <v>43373</v>
      </c>
      <c r="J16" s="120">
        <f t="shared" si="0"/>
        <v>4.0244633649118677E-2</v>
      </c>
      <c r="K16" s="119">
        <v>42595</v>
      </c>
      <c r="L16" s="120">
        <f t="shared" si="0"/>
        <v>-1.7937426509579746E-2</v>
      </c>
      <c r="M16" s="119"/>
      <c r="N16" s="120"/>
    </row>
    <row r="17" spans="1:15" x14ac:dyDescent="0.25">
      <c r="A17" s="1" t="s">
        <v>88</v>
      </c>
      <c r="B17" s="118" t="s">
        <v>89</v>
      </c>
      <c r="C17" s="119">
        <v>14501</v>
      </c>
      <c r="D17" s="120">
        <v>-0.602396424556497</v>
      </c>
      <c r="E17" s="119">
        <v>36202</v>
      </c>
      <c r="F17" s="120">
        <f t="shared" si="0"/>
        <v>1.4965174815529965</v>
      </c>
      <c r="G17" s="119">
        <v>42224</v>
      </c>
      <c r="H17" s="120">
        <f t="shared" si="0"/>
        <v>0.16634440086183089</v>
      </c>
      <c r="I17" s="119">
        <v>40151</v>
      </c>
      <c r="J17" s="120">
        <f t="shared" si="0"/>
        <v>-4.9095301250473677E-2</v>
      </c>
      <c r="K17" s="119">
        <v>43154</v>
      </c>
      <c r="L17" s="120">
        <f t="shared" si="0"/>
        <v>7.479265771711785E-2</v>
      </c>
      <c r="M17" s="119"/>
      <c r="N17" s="120"/>
    </row>
    <row r="18" spans="1:15" x14ac:dyDescent="0.25">
      <c r="A18" s="1" t="s">
        <v>90</v>
      </c>
      <c r="B18" s="118" t="s">
        <v>91</v>
      </c>
      <c r="C18" s="119">
        <v>17308</v>
      </c>
      <c r="D18" s="120">
        <v>-0.56855120151560468</v>
      </c>
      <c r="E18" s="119">
        <v>42785</v>
      </c>
      <c r="F18" s="120">
        <f t="shared" si="0"/>
        <v>1.471978275941761</v>
      </c>
      <c r="G18" s="119">
        <v>48246</v>
      </c>
      <c r="H18" s="120">
        <f t="shared" si="0"/>
        <v>0.12763819095477391</v>
      </c>
      <c r="I18" s="119">
        <v>49321</v>
      </c>
      <c r="J18" s="120">
        <f t="shared" si="0"/>
        <v>2.2281639928698693E-2</v>
      </c>
      <c r="K18" s="119">
        <v>43124</v>
      </c>
      <c r="L18" s="120">
        <f t="shared" si="0"/>
        <v>-0.1256462764339733</v>
      </c>
      <c r="M18" s="119"/>
      <c r="N18" s="120"/>
    </row>
    <row r="19" spans="1:15" x14ac:dyDescent="0.25">
      <c r="A19" s="1" t="s">
        <v>92</v>
      </c>
      <c r="B19" s="118" t="s">
        <v>93</v>
      </c>
      <c r="C19" s="119">
        <v>14807</v>
      </c>
      <c r="D19" s="120">
        <v>-0.68922889644461227</v>
      </c>
      <c r="E19" s="119">
        <v>49146</v>
      </c>
      <c r="F19" s="120">
        <f t="shared" si="0"/>
        <v>2.319105828324441</v>
      </c>
      <c r="G19" s="119">
        <v>56046</v>
      </c>
      <c r="H19" s="120">
        <f t="shared" si="0"/>
        <v>0.14039799780246609</v>
      </c>
      <c r="I19" s="119">
        <v>55991</v>
      </c>
      <c r="J19" s="120">
        <f t="shared" si="0"/>
        <v>-9.8133675909073403E-4</v>
      </c>
      <c r="K19" s="119">
        <v>53169</v>
      </c>
      <c r="L19" s="120">
        <f t="shared" si="0"/>
        <v>-5.0400957296708349E-2</v>
      </c>
      <c r="M19" s="119"/>
      <c r="N19" s="120"/>
    </row>
    <row r="20" spans="1:15" x14ac:dyDescent="0.25">
      <c r="A20" s="1" t="s">
        <v>94</v>
      </c>
      <c r="B20" s="118" t="s">
        <v>95</v>
      </c>
      <c r="C20" s="119">
        <v>13546</v>
      </c>
      <c r="D20" s="120">
        <v>-0.72325168038899212</v>
      </c>
      <c r="E20" s="119">
        <v>46745</v>
      </c>
      <c r="F20" s="120">
        <f t="shared" si="0"/>
        <v>2.4508341945961907</v>
      </c>
      <c r="G20" s="119">
        <v>54058</v>
      </c>
      <c r="H20" s="120">
        <f t="shared" si="0"/>
        <v>0.15644453952294368</v>
      </c>
      <c r="I20" s="119">
        <v>53126</v>
      </c>
      <c r="J20" s="120">
        <f t="shared" si="0"/>
        <v>-1.7240741425875949E-2</v>
      </c>
      <c r="K20" s="119">
        <v>55215</v>
      </c>
      <c r="L20" s="120">
        <f t="shared" si="0"/>
        <v>3.9321612769642078E-2</v>
      </c>
      <c r="M20" s="119"/>
      <c r="N20" s="120"/>
    </row>
    <row r="21" spans="1:15" ht="15.75" x14ac:dyDescent="0.25">
      <c r="A21" s="1"/>
      <c r="B21" s="121" t="s">
        <v>32</v>
      </c>
      <c r="C21" s="122">
        <v>216673</v>
      </c>
      <c r="D21" s="123">
        <v>-0.56961248378645191</v>
      </c>
      <c r="E21" s="122">
        <v>359169</v>
      </c>
      <c r="F21" s="123">
        <f t="shared" si="0"/>
        <v>0.65765462240334505</v>
      </c>
      <c r="G21" s="122">
        <v>543499</v>
      </c>
      <c r="H21" s="123">
        <f t="shared" si="0"/>
        <v>0.51321244316742254</v>
      </c>
      <c r="I21" s="122">
        <v>576462</v>
      </c>
      <c r="J21" s="123">
        <f t="shared" si="0"/>
        <v>6.0649605611049928E-2</v>
      </c>
      <c r="K21" s="122">
        <v>584273</v>
      </c>
      <c r="L21" s="123">
        <f t="shared" si="0"/>
        <v>1.3549895743344642E-2</v>
      </c>
      <c r="M21" s="122">
        <v>301669</v>
      </c>
      <c r="N21" s="123">
        <v>-3.4794250001657367E-4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K24" s="124"/>
      <c r="N24" s="81"/>
    </row>
    <row r="26" spans="1:15" ht="48.75" customHeight="1" thickBot="1" x14ac:dyDescent="0.3">
      <c r="B26" s="278" t="s">
        <v>282</v>
      </c>
      <c r="C26" s="278"/>
      <c r="D26" s="278"/>
      <c r="E26" s="278"/>
      <c r="F26" s="278"/>
      <c r="G26" s="278"/>
      <c r="H26" s="278"/>
      <c r="I26" s="278"/>
      <c r="J26" s="278"/>
      <c r="K26" s="278"/>
      <c r="L26" s="278"/>
      <c r="M26" s="278"/>
      <c r="N26" s="278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5" t="s">
        <v>98</v>
      </c>
      <c r="C28" s="303" t="s">
        <v>139</v>
      </c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</row>
    <row r="29" spans="1:15" ht="22.5" thickTop="1" thickBot="1" x14ac:dyDescent="0.3">
      <c r="B29" s="111"/>
      <c r="C29" s="305">
        <f>C$7</f>
        <v>2020</v>
      </c>
      <c r="D29" s="306"/>
      <c r="E29" s="305">
        <f>E$7</f>
        <v>2021</v>
      </c>
      <c r="F29" s="306"/>
      <c r="G29" s="305">
        <f>G$7</f>
        <v>2022</v>
      </c>
      <c r="H29" s="306"/>
      <c r="I29" s="305">
        <f>I$7</f>
        <v>2023</v>
      </c>
      <c r="J29" s="306"/>
      <c r="K29" s="305">
        <f>K$7</f>
        <v>2024</v>
      </c>
      <c r="L29" s="306"/>
      <c r="M29" s="307">
        <f>M$7</f>
        <v>2025</v>
      </c>
      <c r="N29" s="308"/>
    </row>
    <row r="30" spans="1:15" ht="16.5" thickTop="1" thickBot="1" x14ac:dyDescent="0.3">
      <c r="B30" s="87"/>
      <c r="C30" s="115" t="s">
        <v>71</v>
      </c>
      <c r="D30" s="116" t="str">
        <f>CONCATENATE("var ",RIGHT(C29,2),"/",RIGHT(C29-1,2))</f>
        <v>var 20/19</v>
      </c>
      <c r="E30" s="117" t="s">
        <v>71</v>
      </c>
      <c r="F30" s="116" t="str">
        <f>CONCATENATE("var ",RIGHT(E29,2),"/",RIGHT(C29,2))</f>
        <v>var 21/20</v>
      </c>
      <c r="G30" s="117" t="s">
        <v>71</v>
      </c>
      <c r="H30" s="116" t="str">
        <f>CONCATENATE("var ",RIGHT(G29,2),"/",RIGHT(E29,2))</f>
        <v>var 22/21</v>
      </c>
      <c r="I30" s="117" t="s">
        <v>71</v>
      </c>
      <c r="J30" s="116" t="str">
        <f>CONCATENATE("var ",RIGHT(I29,2),"/",RIGHT(G29,2))</f>
        <v>var 23/22</v>
      </c>
      <c r="K30" s="117" t="s">
        <v>71</v>
      </c>
      <c r="L30" s="116" t="str">
        <f>CONCATENATE("var ",RIGHT(K29,2),"/",RIGHT(I29,2))</f>
        <v>var 24/23</v>
      </c>
      <c r="M30" s="117" t="s">
        <v>71</v>
      </c>
      <c r="N30" s="116" t="str">
        <f>CONCATENATE("var ",RIGHT(M29,2),"/",RIGHT(K29,2))</f>
        <v>var 25/24</v>
      </c>
    </row>
    <row r="31" spans="1:15" x14ac:dyDescent="0.25">
      <c r="B31" s="118" t="s">
        <v>73</v>
      </c>
      <c r="C31" s="119">
        <v>46163</v>
      </c>
      <c r="D31" s="120">
        <v>-7.8546049742504676E-2</v>
      </c>
      <c r="E31" s="119">
        <v>9068</v>
      </c>
      <c r="F31" s="120">
        <f t="shared" ref="F31:J43" si="2">IFERROR(E31/C31-1,"-")</f>
        <v>-0.80356562615081339</v>
      </c>
      <c r="G31" s="119">
        <v>40065</v>
      </c>
      <c r="H31" s="120">
        <f t="shared" si="2"/>
        <v>3.4182840758711954</v>
      </c>
      <c r="I31" s="119">
        <v>59578</v>
      </c>
      <c r="J31" s="120">
        <f t="shared" si="2"/>
        <v>0.48703357044802198</v>
      </c>
      <c r="K31" s="119">
        <v>62651</v>
      </c>
      <c r="L31" s="120">
        <f t="shared" ref="L31:L43" si="3">IFERROR(K31/I31-1,"-")</f>
        <v>5.1579442075934123E-2</v>
      </c>
      <c r="M31" s="119">
        <v>57077</v>
      </c>
      <c r="N31" s="120">
        <f t="shared" ref="N31:N36" si="4">IFERROR(M31/K31-1,"-")</f>
        <v>-8.8969050773331615E-2</v>
      </c>
    </row>
    <row r="32" spans="1:15" x14ac:dyDescent="0.25">
      <c r="B32" s="118" t="s">
        <v>75</v>
      </c>
      <c r="C32" s="119">
        <v>51846</v>
      </c>
      <c r="D32" s="120">
        <v>9.6411275826337128E-2</v>
      </c>
      <c r="E32" s="119">
        <v>15142</v>
      </c>
      <c r="F32" s="120">
        <f t="shared" si="2"/>
        <v>-0.70794275353932801</v>
      </c>
      <c r="G32" s="119">
        <v>41909</v>
      </c>
      <c r="H32" s="120">
        <f t="shared" si="2"/>
        <v>1.7677321357812708</v>
      </c>
      <c r="I32" s="119">
        <v>52194</v>
      </c>
      <c r="J32" s="120">
        <f t="shared" si="2"/>
        <v>0.24541267985396931</v>
      </c>
      <c r="K32" s="119">
        <v>55957</v>
      </c>
      <c r="L32" s="120">
        <f t="shared" si="3"/>
        <v>7.2096409548990215E-2</v>
      </c>
      <c r="M32" s="119">
        <v>52638</v>
      </c>
      <c r="N32" s="120">
        <f t="shared" si="4"/>
        <v>-5.9313401361759888E-2</v>
      </c>
    </row>
    <row r="33" spans="2:15" x14ac:dyDescent="0.25">
      <c r="B33" s="118" t="s">
        <v>77</v>
      </c>
      <c r="C33" s="119">
        <v>20252</v>
      </c>
      <c r="D33" s="120">
        <v>-0.59010686528497414</v>
      </c>
      <c r="E33" s="119">
        <v>22329</v>
      </c>
      <c r="F33" s="120">
        <f t="shared" si="2"/>
        <v>0.1025577720718942</v>
      </c>
      <c r="G33" s="119">
        <v>47103</v>
      </c>
      <c r="H33" s="120">
        <f t="shared" si="2"/>
        <v>1.1094988579873708</v>
      </c>
      <c r="I33" s="119">
        <v>58354</v>
      </c>
      <c r="J33" s="120">
        <f t="shared" si="2"/>
        <v>0.23885952062501326</v>
      </c>
      <c r="K33" s="119">
        <v>58643</v>
      </c>
      <c r="L33" s="120">
        <f t="shared" si="3"/>
        <v>4.9525311032663222E-3</v>
      </c>
      <c r="M33" s="119">
        <v>56752</v>
      </c>
      <c r="N33" s="120">
        <f t="shared" si="4"/>
        <v>-3.2245962860017352E-2</v>
      </c>
    </row>
    <row r="34" spans="2:15" x14ac:dyDescent="0.25">
      <c r="B34" s="118" t="s">
        <v>79</v>
      </c>
      <c r="C34" s="119">
        <v>0</v>
      </c>
      <c r="D34" s="120">
        <v>-1</v>
      </c>
      <c r="E34" s="119">
        <v>19557</v>
      </c>
      <c r="F34" s="120" t="str">
        <f t="shared" si="2"/>
        <v>-</v>
      </c>
      <c r="G34" s="119">
        <v>43531</v>
      </c>
      <c r="H34" s="120">
        <f t="shared" si="2"/>
        <v>1.2258526358848494</v>
      </c>
      <c r="I34" s="119">
        <v>42717</v>
      </c>
      <c r="J34" s="120">
        <f t="shared" si="2"/>
        <v>-1.8699317727596476E-2</v>
      </c>
      <c r="K34" s="119">
        <v>46133</v>
      </c>
      <c r="L34" s="120">
        <f t="shared" si="3"/>
        <v>7.9968162558232025E-2</v>
      </c>
      <c r="M34" s="119">
        <v>47123</v>
      </c>
      <c r="N34" s="120">
        <f t="shared" si="4"/>
        <v>2.1459692627836979E-2</v>
      </c>
    </row>
    <row r="35" spans="2:15" x14ac:dyDescent="0.25">
      <c r="B35" s="118" t="s">
        <v>81</v>
      </c>
      <c r="C35" s="119">
        <v>0</v>
      </c>
      <c r="D35" s="120">
        <v>-1</v>
      </c>
      <c r="E35" s="119">
        <v>24025</v>
      </c>
      <c r="F35" s="120" t="str">
        <f t="shared" si="2"/>
        <v>-</v>
      </c>
      <c r="G35" s="119">
        <v>44866</v>
      </c>
      <c r="H35" s="120">
        <f t="shared" si="2"/>
        <v>0.8674713839750261</v>
      </c>
      <c r="I35" s="119">
        <v>42611</v>
      </c>
      <c r="J35" s="120">
        <f t="shared" si="2"/>
        <v>-5.0260776534569618E-2</v>
      </c>
      <c r="K35" s="119">
        <v>38316</v>
      </c>
      <c r="L35" s="120">
        <f t="shared" si="3"/>
        <v>-0.10079556921921573</v>
      </c>
      <c r="M35" s="119">
        <v>45582</v>
      </c>
      <c r="N35" s="120">
        <f t="shared" si="4"/>
        <v>0.18963357344190412</v>
      </c>
    </row>
    <row r="36" spans="2:15" x14ac:dyDescent="0.25">
      <c r="B36" s="118" t="s">
        <v>83</v>
      </c>
      <c r="C36" s="119">
        <v>0</v>
      </c>
      <c r="D36" s="120">
        <v>-1</v>
      </c>
      <c r="E36" s="119">
        <v>26795</v>
      </c>
      <c r="F36" s="120" t="str">
        <f t="shared" si="2"/>
        <v>-</v>
      </c>
      <c r="G36" s="119">
        <v>40470</v>
      </c>
      <c r="H36" s="120">
        <f t="shared" si="2"/>
        <v>0.51035640977794361</v>
      </c>
      <c r="I36" s="119">
        <v>38639</v>
      </c>
      <c r="J36" s="120">
        <f t="shared" si="2"/>
        <v>-4.5243390165554787E-2</v>
      </c>
      <c r="K36" s="119">
        <v>40074</v>
      </c>
      <c r="L36" s="120">
        <f t="shared" si="3"/>
        <v>3.7138642304407554E-2</v>
      </c>
      <c r="M36" s="119">
        <v>42497</v>
      </c>
      <c r="N36" s="120">
        <f t="shared" si="4"/>
        <v>6.0463143185107482E-2</v>
      </c>
    </row>
    <row r="37" spans="2:15" x14ac:dyDescent="0.25">
      <c r="B37" s="118" t="s">
        <v>85</v>
      </c>
      <c r="C37" s="119">
        <v>0</v>
      </c>
      <c r="D37" s="120">
        <v>-1</v>
      </c>
      <c r="E37" s="119">
        <v>31224</v>
      </c>
      <c r="F37" s="120" t="str">
        <f t="shared" si="2"/>
        <v>-</v>
      </c>
      <c r="G37" s="119">
        <v>43286</v>
      </c>
      <c r="H37" s="120">
        <f t="shared" si="2"/>
        <v>0.38630540609787345</v>
      </c>
      <c r="I37" s="119">
        <v>40407</v>
      </c>
      <c r="J37" s="120">
        <f t="shared" si="2"/>
        <v>-6.651111213787364E-2</v>
      </c>
      <c r="K37" s="119">
        <v>45242</v>
      </c>
      <c r="L37" s="120">
        <f t="shared" si="3"/>
        <v>0.11965748508921714</v>
      </c>
      <c r="M37" s="119"/>
      <c r="N37" s="120"/>
    </row>
    <row r="38" spans="2:15" x14ac:dyDescent="0.25">
      <c r="B38" s="118" t="s">
        <v>87</v>
      </c>
      <c r="C38" s="119">
        <v>15225</v>
      </c>
      <c r="D38" s="120">
        <v>-0.60673141499199257</v>
      </c>
      <c r="E38" s="119">
        <v>36151</v>
      </c>
      <c r="F38" s="120">
        <f t="shared" si="2"/>
        <v>1.3744499178981937</v>
      </c>
      <c r="G38" s="119">
        <v>41695</v>
      </c>
      <c r="H38" s="120">
        <f t="shared" si="2"/>
        <v>0.15335675361677414</v>
      </c>
      <c r="I38" s="119">
        <v>43373</v>
      </c>
      <c r="J38" s="120">
        <f t="shared" si="2"/>
        <v>4.0244633649118677E-2</v>
      </c>
      <c r="K38" s="119">
        <v>42595</v>
      </c>
      <c r="L38" s="120">
        <f t="shared" si="3"/>
        <v>-1.7937426509579746E-2</v>
      </c>
      <c r="M38" s="119"/>
      <c r="N38" s="120"/>
    </row>
    <row r="39" spans="2:15" x14ac:dyDescent="0.25">
      <c r="B39" s="118" t="s">
        <v>89</v>
      </c>
      <c r="C39" s="119">
        <v>14501</v>
      </c>
      <c r="D39" s="120">
        <v>-0.602396424556497</v>
      </c>
      <c r="E39" s="119">
        <v>36202</v>
      </c>
      <c r="F39" s="120">
        <f t="shared" si="2"/>
        <v>1.4965174815529965</v>
      </c>
      <c r="G39" s="119">
        <v>42224</v>
      </c>
      <c r="H39" s="120">
        <f t="shared" si="2"/>
        <v>0.16634440086183089</v>
      </c>
      <c r="I39" s="119">
        <v>40151</v>
      </c>
      <c r="J39" s="120">
        <f t="shared" si="2"/>
        <v>-4.9095301250473677E-2</v>
      </c>
      <c r="K39" s="119">
        <v>43154</v>
      </c>
      <c r="L39" s="120">
        <f t="shared" si="3"/>
        <v>7.479265771711785E-2</v>
      </c>
      <c r="M39" s="119"/>
      <c r="N39" s="120"/>
    </row>
    <row r="40" spans="2:15" x14ac:dyDescent="0.25">
      <c r="B40" s="118" t="s">
        <v>91</v>
      </c>
      <c r="C40" s="119">
        <v>17308</v>
      </c>
      <c r="D40" s="120">
        <v>-0.56855120151560468</v>
      </c>
      <c r="E40" s="119">
        <v>42785</v>
      </c>
      <c r="F40" s="120">
        <f t="shared" si="2"/>
        <v>1.471978275941761</v>
      </c>
      <c r="G40" s="119">
        <v>48246</v>
      </c>
      <c r="H40" s="120">
        <f t="shared" si="2"/>
        <v>0.12763819095477391</v>
      </c>
      <c r="I40" s="119">
        <v>49321</v>
      </c>
      <c r="J40" s="120">
        <f t="shared" si="2"/>
        <v>2.2281639928698693E-2</v>
      </c>
      <c r="K40" s="119">
        <v>43124</v>
      </c>
      <c r="L40" s="120">
        <f t="shared" si="3"/>
        <v>-0.1256462764339733</v>
      </c>
      <c r="M40" s="119"/>
      <c r="N40" s="120"/>
    </row>
    <row r="41" spans="2:15" x14ac:dyDescent="0.25">
      <c r="B41" s="118" t="s">
        <v>93</v>
      </c>
      <c r="C41" s="119">
        <v>14807</v>
      </c>
      <c r="D41" s="120">
        <v>-0.68922889644461227</v>
      </c>
      <c r="E41" s="119">
        <v>49146</v>
      </c>
      <c r="F41" s="120">
        <f t="shared" si="2"/>
        <v>2.319105828324441</v>
      </c>
      <c r="G41" s="119">
        <v>56046</v>
      </c>
      <c r="H41" s="120">
        <f t="shared" si="2"/>
        <v>0.14039799780246609</v>
      </c>
      <c r="I41" s="119">
        <v>55991</v>
      </c>
      <c r="J41" s="120">
        <f t="shared" si="2"/>
        <v>-9.8133675909073403E-4</v>
      </c>
      <c r="K41" s="119">
        <v>53169</v>
      </c>
      <c r="L41" s="120">
        <f t="shared" si="3"/>
        <v>-5.0400957296708349E-2</v>
      </c>
      <c r="M41" s="119"/>
      <c r="N41" s="120"/>
    </row>
    <row r="42" spans="2:15" x14ac:dyDescent="0.25">
      <c r="B42" s="118" t="s">
        <v>95</v>
      </c>
      <c r="C42" s="119">
        <v>13546</v>
      </c>
      <c r="D42" s="120">
        <v>-0.72325168038899212</v>
      </c>
      <c r="E42" s="119">
        <v>46745</v>
      </c>
      <c r="F42" s="120">
        <f t="shared" si="2"/>
        <v>2.4508341945961907</v>
      </c>
      <c r="G42" s="119">
        <v>54058</v>
      </c>
      <c r="H42" s="120">
        <f t="shared" si="2"/>
        <v>0.15644453952294368</v>
      </c>
      <c r="I42" s="119">
        <v>53126</v>
      </c>
      <c r="J42" s="120">
        <f t="shared" si="2"/>
        <v>-1.7240741425875949E-2</v>
      </c>
      <c r="K42" s="119">
        <v>55215</v>
      </c>
      <c r="L42" s="120">
        <f t="shared" si="3"/>
        <v>3.9321612769642078E-2</v>
      </c>
      <c r="M42" s="119"/>
      <c r="N42" s="120"/>
    </row>
    <row r="43" spans="2:15" ht="15.75" x14ac:dyDescent="0.25">
      <c r="B43" s="121" t="s">
        <v>32</v>
      </c>
      <c r="C43" s="122">
        <v>216673</v>
      </c>
      <c r="D43" s="123">
        <v>-0.56961248378645191</v>
      </c>
      <c r="E43" s="122">
        <v>359169</v>
      </c>
      <c r="F43" s="123">
        <f t="shared" si="2"/>
        <v>0.65765462240334505</v>
      </c>
      <c r="G43" s="122">
        <v>543499</v>
      </c>
      <c r="H43" s="123">
        <f t="shared" si="2"/>
        <v>0.51321244316742254</v>
      </c>
      <c r="I43" s="122">
        <v>576462</v>
      </c>
      <c r="J43" s="123">
        <f t="shared" si="2"/>
        <v>6.0649605611049928E-2</v>
      </c>
      <c r="K43" s="122">
        <v>584273</v>
      </c>
      <c r="L43" s="123">
        <f t="shared" si="3"/>
        <v>1.3549895743344642E-2</v>
      </c>
      <c r="M43" s="122">
        <v>301669</v>
      </c>
      <c r="N43" s="123">
        <v>-3.4794250001657367E-4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8" spans="2:15" ht="48.75" customHeight="1" thickBot="1" x14ac:dyDescent="0.3">
      <c r="B48" s="278" t="s">
        <v>283</v>
      </c>
      <c r="C48" s="278"/>
      <c r="D48" s="278"/>
      <c r="E48" s="278"/>
      <c r="F48" s="278"/>
      <c r="G48" s="278"/>
      <c r="H48" s="278"/>
      <c r="I48" s="278"/>
      <c r="J48" s="278"/>
      <c r="K48" s="278"/>
      <c r="L48" s="278"/>
      <c r="M48" s="278"/>
      <c r="N48" s="278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3" t="s">
        <v>151</v>
      </c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</row>
    <row r="51" spans="1:15" ht="22.5" thickTop="1" thickBot="1" x14ac:dyDescent="0.3">
      <c r="B51" s="111"/>
      <c r="C51" s="305">
        <f>C$7</f>
        <v>2020</v>
      </c>
      <c r="D51" s="306"/>
      <c r="E51" s="305">
        <f>E$7</f>
        <v>2021</v>
      </c>
      <c r="F51" s="306"/>
      <c r="G51" s="305">
        <f>G$7</f>
        <v>2022</v>
      </c>
      <c r="H51" s="306"/>
      <c r="I51" s="305">
        <f>I$7</f>
        <v>2023</v>
      </c>
      <c r="J51" s="306"/>
      <c r="K51" s="305">
        <f>K$7</f>
        <v>2024</v>
      </c>
      <c r="L51" s="306"/>
      <c r="M51" s="307">
        <f>M$7</f>
        <v>2025</v>
      </c>
      <c r="N51" s="308"/>
    </row>
    <row r="52" spans="1:15" ht="16.5" thickTop="1" thickBot="1" x14ac:dyDescent="0.3">
      <c r="B52" s="87"/>
      <c r="C52" s="115" t="s">
        <v>71</v>
      </c>
      <c r="D52" s="116" t="str">
        <f>CONCATENATE("var ",RIGHT(C51,2),"/",RIGHT(C51-1,2))</f>
        <v>var 20/19</v>
      </c>
      <c r="E52" s="117" t="s">
        <v>71</v>
      </c>
      <c r="F52" s="116" t="str">
        <f>CONCATENATE("var ",RIGHT(E51,2),"/",RIGHT(C51,2))</f>
        <v>var 21/20</v>
      </c>
      <c r="G52" s="117" t="s">
        <v>71</v>
      </c>
      <c r="H52" s="116" t="str">
        <f>CONCATENATE("var ",RIGHT(G51,2),"/",RIGHT(E51,2))</f>
        <v>var 22/21</v>
      </c>
      <c r="I52" s="117" t="s">
        <v>71</v>
      </c>
      <c r="J52" s="116" t="str">
        <f>CONCATENATE("var ",RIGHT(I51,2),"/",RIGHT(G51,2))</f>
        <v>var 23/22</v>
      </c>
      <c r="K52" s="117" t="s">
        <v>71</v>
      </c>
      <c r="L52" s="116" t="str">
        <f>CONCATENATE("var ",RIGHT(K51,2),"/",RIGHT(I51,2))</f>
        <v>var 24/23</v>
      </c>
      <c r="M52" s="117" t="s">
        <v>71</v>
      </c>
      <c r="N52" s="116" t="str">
        <f>CONCATENATE("var ",RIGHT(M51,2),"/",RIGHT(K51,2))</f>
        <v>var 25/24</v>
      </c>
    </row>
    <row r="53" spans="1:15" x14ac:dyDescent="0.25">
      <c r="A53" s="1"/>
      <c r="B53" s="118" t="s">
        <v>73</v>
      </c>
      <c r="C53" s="119">
        <v>24068</v>
      </c>
      <c r="D53" s="120">
        <v>-8.6949924127465827E-2</v>
      </c>
      <c r="E53" s="119">
        <v>3301</v>
      </c>
      <c r="F53" s="120">
        <f t="shared" ref="F53:J65" si="5">IFERROR(E53/C53-1,"-")</f>
        <v>-0.86284693368788434</v>
      </c>
      <c r="G53" s="119">
        <v>25732</v>
      </c>
      <c r="H53" s="120">
        <f t="shared" si="5"/>
        <v>6.7952135716449558</v>
      </c>
      <c r="I53" s="119">
        <v>35523</v>
      </c>
      <c r="J53" s="120">
        <f t="shared" si="5"/>
        <v>0.38049898958495265</v>
      </c>
      <c r="K53" s="119">
        <v>36719</v>
      </c>
      <c r="L53" s="120">
        <f t="shared" ref="L53:L65" si="6">IFERROR(K53/I53-1,"-")</f>
        <v>3.3668327562424327E-2</v>
      </c>
      <c r="M53" s="119">
        <v>39716</v>
      </c>
      <c r="N53" s="120">
        <f t="shared" ref="N53:N58" si="7">IFERROR(M53/K53-1,"-")</f>
        <v>8.1619869822162849E-2</v>
      </c>
    </row>
    <row r="54" spans="1:15" x14ac:dyDescent="0.25">
      <c r="A54" s="1">
        <v>2</v>
      </c>
      <c r="B54" s="118" t="s">
        <v>75</v>
      </c>
      <c r="C54" s="119">
        <v>26644</v>
      </c>
      <c r="D54" s="120">
        <v>6.5078349856092066E-2</v>
      </c>
      <c r="E54" s="119">
        <v>7577</v>
      </c>
      <c r="F54" s="120">
        <f t="shared" si="5"/>
        <v>-0.71562077766101184</v>
      </c>
      <c r="G54" s="119">
        <v>27332</v>
      </c>
      <c r="H54" s="120">
        <f t="shared" si="5"/>
        <v>2.6072324138841232</v>
      </c>
      <c r="I54" s="119">
        <v>32889</v>
      </c>
      <c r="J54" s="120">
        <f t="shared" si="5"/>
        <v>0.2033147958436996</v>
      </c>
      <c r="K54" s="119">
        <v>33731</v>
      </c>
      <c r="L54" s="120">
        <f t="shared" si="6"/>
        <v>2.5601264860591666E-2</v>
      </c>
      <c r="M54" s="119">
        <v>36223</v>
      </c>
      <c r="N54" s="120">
        <f t="shared" si="7"/>
        <v>7.3878627968337662E-2</v>
      </c>
    </row>
    <row r="55" spans="1:15" x14ac:dyDescent="0.25">
      <c r="A55" s="1">
        <v>3</v>
      </c>
      <c r="B55" s="118" t="s">
        <v>77</v>
      </c>
      <c r="C55" s="119">
        <v>11112</v>
      </c>
      <c r="D55" s="120">
        <v>-0.58689914123201614</v>
      </c>
      <c r="E55" s="119">
        <v>12952</v>
      </c>
      <c r="F55" s="120">
        <f t="shared" si="5"/>
        <v>0.16558675305975523</v>
      </c>
      <c r="G55" s="119">
        <v>30980</v>
      </c>
      <c r="H55" s="120">
        <f t="shared" si="5"/>
        <v>1.3919085855466338</v>
      </c>
      <c r="I55" s="119">
        <v>34565</v>
      </c>
      <c r="J55" s="120">
        <f t="shared" si="5"/>
        <v>0.11571981923821828</v>
      </c>
      <c r="K55" s="119">
        <v>33512</v>
      </c>
      <c r="L55" s="120">
        <f t="shared" si="6"/>
        <v>-3.0464342543034872E-2</v>
      </c>
      <c r="M55" s="119">
        <v>38616</v>
      </c>
      <c r="N55" s="120">
        <f t="shared" si="7"/>
        <v>0.15230365242301258</v>
      </c>
    </row>
    <row r="56" spans="1:15" x14ac:dyDescent="0.25">
      <c r="A56" s="1">
        <v>4</v>
      </c>
      <c r="B56" s="118" t="s">
        <v>79</v>
      </c>
      <c r="C56" s="119">
        <v>0</v>
      </c>
      <c r="D56" s="120">
        <v>-1</v>
      </c>
      <c r="E56" s="119">
        <v>13076</v>
      </c>
      <c r="F56" s="120" t="str">
        <f t="shared" si="5"/>
        <v>-</v>
      </c>
      <c r="G56" s="119">
        <v>29287</v>
      </c>
      <c r="H56" s="120">
        <f t="shared" si="5"/>
        <v>1.2397522178036096</v>
      </c>
      <c r="I56" s="119">
        <v>27273</v>
      </c>
      <c r="J56" s="120">
        <f t="shared" si="5"/>
        <v>-6.8767712637006206E-2</v>
      </c>
      <c r="K56" s="119">
        <v>28433</v>
      </c>
      <c r="L56" s="120">
        <f t="shared" si="6"/>
        <v>4.2532908004253356E-2</v>
      </c>
      <c r="M56" s="119">
        <v>32762</v>
      </c>
      <c r="N56" s="120">
        <f t="shared" si="7"/>
        <v>0.15225266415784477</v>
      </c>
    </row>
    <row r="57" spans="1:15" x14ac:dyDescent="0.25">
      <c r="A57" s="1">
        <v>5</v>
      </c>
      <c r="B57" s="118" t="s">
        <v>81</v>
      </c>
      <c r="C57" s="119">
        <v>0</v>
      </c>
      <c r="D57" s="120">
        <v>-1</v>
      </c>
      <c r="E57" s="119">
        <v>16219</v>
      </c>
      <c r="F57" s="120" t="str">
        <f t="shared" si="5"/>
        <v>-</v>
      </c>
      <c r="G57" s="119">
        <v>26797</v>
      </c>
      <c r="H57" s="120">
        <f t="shared" si="5"/>
        <v>0.65219803933658049</v>
      </c>
      <c r="I57" s="119">
        <v>24835</v>
      </c>
      <c r="J57" s="120">
        <f t="shared" si="5"/>
        <v>-7.3217151173638806E-2</v>
      </c>
      <c r="K57" s="119">
        <v>22675</v>
      </c>
      <c r="L57" s="120">
        <f t="shared" si="6"/>
        <v>-8.6974028588685304E-2</v>
      </c>
      <c r="M57" s="119">
        <v>31774</v>
      </c>
      <c r="N57" s="120">
        <f t="shared" si="7"/>
        <v>0.40127894156560084</v>
      </c>
    </row>
    <row r="58" spans="1:15" x14ac:dyDescent="0.25">
      <c r="A58" s="1">
        <v>6</v>
      </c>
      <c r="B58" s="118" t="s">
        <v>83</v>
      </c>
      <c r="C58" s="119">
        <v>0</v>
      </c>
      <c r="D58" s="120">
        <v>-1</v>
      </c>
      <c r="E58" s="119">
        <v>18033</v>
      </c>
      <c r="F58" s="120" t="str">
        <f t="shared" si="5"/>
        <v>-</v>
      </c>
      <c r="G58" s="119">
        <v>24434</v>
      </c>
      <c r="H58" s="120">
        <f t="shared" si="5"/>
        <v>0.35496035046858543</v>
      </c>
      <c r="I58" s="119">
        <v>22412</v>
      </c>
      <c r="J58" s="120">
        <f t="shared" si="5"/>
        <v>-8.2753540148972737E-2</v>
      </c>
      <c r="K58" s="119">
        <v>24289</v>
      </c>
      <c r="L58" s="120">
        <f t="shared" si="6"/>
        <v>8.3749776905229334E-2</v>
      </c>
      <c r="M58" s="119">
        <v>29665</v>
      </c>
      <c r="N58" s="120">
        <f t="shared" si="7"/>
        <v>0.22133476059121415</v>
      </c>
    </row>
    <row r="59" spans="1:15" x14ac:dyDescent="0.25">
      <c r="A59" s="1">
        <v>7</v>
      </c>
      <c r="B59" s="118" t="s">
        <v>85</v>
      </c>
      <c r="C59" s="119">
        <v>0</v>
      </c>
      <c r="D59" s="120">
        <v>-1</v>
      </c>
      <c r="E59" s="119">
        <v>22155</v>
      </c>
      <c r="F59" s="120" t="str">
        <f t="shared" si="5"/>
        <v>-</v>
      </c>
      <c r="G59" s="119">
        <v>27739</v>
      </c>
      <c r="H59" s="120">
        <f t="shared" si="5"/>
        <v>0.25204242834574586</v>
      </c>
      <c r="I59" s="119">
        <v>26095</v>
      </c>
      <c r="J59" s="120">
        <f t="shared" si="5"/>
        <v>-5.9266736363964068E-2</v>
      </c>
      <c r="K59" s="119">
        <v>28719</v>
      </c>
      <c r="L59" s="120">
        <f t="shared" si="6"/>
        <v>0.1005556620042154</v>
      </c>
      <c r="M59" s="119"/>
      <c r="N59" s="120"/>
    </row>
    <row r="60" spans="1:15" x14ac:dyDescent="0.25">
      <c r="A60" s="1">
        <v>8</v>
      </c>
      <c r="B60" s="118" t="s">
        <v>87</v>
      </c>
      <c r="C60" s="119">
        <v>8166</v>
      </c>
      <c r="D60" s="120">
        <v>-0.63083182640144664</v>
      </c>
      <c r="E60" s="119">
        <v>25703</v>
      </c>
      <c r="F60" s="120">
        <f t="shared" si="5"/>
        <v>2.147563066372765</v>
      </c>
      <c r="G60" s="119">
        <v>26708</v>
      </c>
      <c r="H60" s="120">
        <f t="shared" si="5"/>
        <v>3.9100494105746453E-2</v>
      </c>
      <c r="I60" s="119">
        <v>29282</v>
      </c>
      <c r="J60" s="120">
        <f t="shared" si="5"/>
        <v>9.6375617792421764E-2</v>
      </c>
      <c r="K60" s="119">
        <v>30070</v>
      </c>
      <c r="L60" s="120">
        <f t="shared" si="6"/>
        <v>2.6910730141383787E-2</v>
      </c>
      <c r="M60" s="119"/>
      <c r="N60" s="120"/>
    </row>
    <row r="61" spans="1:15" x14ac:dyDescent="0.25">
      <c r="A61" s="1">
        <v>9</v>
      </c>
      <c r="B61" s="118" t="s">
        <v>89</v>
      </c>
      <c r="C61" s="119">
        <v>7660</v>
      </c>
      <c r="D61" s="120">
        <v>-0.5834239721557537</v>
      </c>
      <c r="E61" s="119">
        <v>24260</v>
      </c>
      <c r="F61" s="120">
        <f t="shared" si="5"/>
        <v>2.1671018276762402</v>
      </c>
      <c r="G61" s="119">
        <v>24257</v>
      </c>
      <c r="H61" s="120">
        <f t="shared" si="5"/>
        <v>-1.2366034624899935E-4</v>
      </c>
      <c r="I61" s="119">
        <v>26434</v>
      </c>
      <c r="J61" s="120">
        <f t="shared" si="5"/>
        <v>8.9747289442222877E-2</v>
      </c>
      <c r="K61" s="119">
        <v>29036</v>
      </c>
      <c r="L61" s="120">
        <f t="shared" si="6"/>
        <v>9.8433835212226706E-2</v>
      </c>
      <c r="M61" s="119"/>
      <c r="N61" s="120"/>
    </row>
    <row r="62" spans="1:15" x14ac:dyDescent="0.25">
      <c r="A62" s="1">
        <v>10</v>
      </c>
      <c r="B62" s="118" t="s">
        <v>91</v>
      </c>
      <c r="C62" s="119">
        <v>8994</v>
      </c>
      <c r="D62" s="120">
        <v>-0.56396955446744557</v>
      </c>
      <c r="E62" s="119">
        <v>28908</v>
      </c>
      <c r="F62" s="120">
        <f t="shared" si="5"/>
        <v>2.2141427618412273</v>
      </c>
      <c r="G62" s="119">
        <v>27227</v>
      </c>
      <c r="H62" s="120">
        <f t="shared" si="5"/>
        <v>-5.8149993081499929E-2</v>
      </c>
      <c r="I62" s="119">
        <v>31067</v>
      </c>
      <c r="J62" s="120">
        <f t="shared" si="5"/>
        <v>0.14103647114996143</v>
      </c>
      <c r="K62" s="119">
        <v>29987</v>
      </c>
      <c r="L62" s="120">
        <f t="shared" si="6"/>
        <v>-3.4763575498116928E-2</v>
      </c>
      <c r="M62" s="119"/>
      <c r="N62" s="120"/>
    </row>
    <row r="63" spans="1:15" x14ac:dyDescent="0.25">
      <c r="A63" s="1">
        <v>11</v>
      </c>
      <c r="B63" s="118" t="s">
        <v>93</v>
      </c>
      <c r="C63" s="119">
        <v>8059</v>
      </c>
      <c r="D63" s="120">
        <v>-0.68642023346303505</v>
      </c>
      <c r="E63" s="119">
        <v>32504</v>
      </c>
      <c r="F63" s="120">
        <f t="shared" si="5"/>
        <v>3.033254746246433</v>
      </c>
      <c r="G63" s="119">
        <v>33332</v>
      </c>
      <c r="H63" s="120">
        <f t="shared" si="5"/>
        <v>2.5473787841496343E-2</v>
      </c>
      <c r="I63" s="119">
        <v>34767</v>
      </c>
      <c r="J63" s="120">
        <f t="shared" si="5"/>
        <v>4.3051722068882858E-2</v>
      </c>
      <c r="K63" s="119">
        <v>36706</v>
      </c>
      <c r="L63" s="120">
        <f t="shared" si="6"/>
        <v>5.5771277360715521E-2</v>
      </c>
      <c r="M63" s="119"/>
      <c r="N63" s="120"/>
    </row>
    <row r="64" spans="1:15" x14ac:dyDescent="0.25">
      <c r="A64" s="1">
        <v>12</v>
      </c>
      <c r="B64" s="118" t="s">
        <v>95</v>
      </c>
      <c r="C64" s="119">
        <v>7306</v>
      </c>
      <c r="D64" s="120">
        <v>-0.69789943764472384</v>
      </c>
      <c r="E64" s="119">
        <v>30193</v>
      </c>
      <c r="F64" s="120">
        <f t="shared" si="5"/>
        <v>3.1326307144812482</v>
      </c>
      <c r="G64" s="119">
        <v>31034</v>
      </c>
      <c r="H64" s="120">
        <f t="shared" si="5"/>
        <v>2.7854138376444793E-2</v>
      </c>
      <c r="I64" s="119">
        <v>32286</v>
      </c>
      <c r="J64" s="120">
        <f t="shared" si="5"/>
        <v>4.0342849777663226E-2</v>
      </c>
      <c r="K64" s="119">
        <v>37306</v>
      </c>
      <c r="L64" s="120">
        <f t="shared" si="6"/>
        <v>0.15548534968717087</v>
      </c>
      <c r="M64" s="119"/>
      <c r="N64" s="120"/>
    </row>
    <row r="65" spans="1:15" ht="15.75" x14ac:dyDescent="0.25">
      <c r="B65" s="121" t="s">
        <v>32</v>
      </c>
      <c r="C65" s="122">
        <v>117055</v>
      </c>
      <c r="D65" s="123">
        <v>-0.56270546921697551</v>
      </c>
      <c r="E65" s="122">
        <v>234881</v>
      </c>
      <c r="F65" s="123">
        <f t="shared" si="5"/>
        <v>1.0065866473025502</v>
      </c>
      <c r="G65" s="122">
        <v>334859</v>
      </c>
      <c r="H65" s="123">
        <f t="shared" si="5"/>
        <v>0.42565384173262211</v>
      </c>
      <c r="I65" s="122">
        <v>357428</v>
      </c>
      <c r="J65" s="123">
        <f t="shared" si="5"/>
        <v>6.7398516987747126E-2</v>
      </c>
      <c r="K65" s="122">
        <v>371183</v>
      </c>
      <c r="L65" s="123">
        <f t="shared" si="6"/>
        <v>3.8483274953277302E-2</v>
      </c>
      <c r="M65" s="122">
        <v>208756</v>
      </c>
      <c r="N65" s="123">
        <v>0.16390033396707171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78" t="s">
        <v>284</v>
      </c>
      <c r="C70" s="278"/>
      <c r="D70" s="278"/>
      <c r="E70" s="278"/>
      <c r="F70" s="278"/>
      <c r="G70" s="278"/>
      <c r="H70" s="278"/>
      <c r="I70" s="278"/>
      <c r="J70" s="278"/>
      <c r="K70" s="278"/>
      <c r="L70" s="278"/>
      <c r="M70" s="278"/>
      <c r="N70" s="278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3" t="s">
        <v>64</v>
      </c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</row>
    <row r="73" spans="1:15" ht="22.5" thickTop="1" thickBot="1" x14ac:dyDescent="0.3">
      <c r="B73" s="111"/>
      <c r="C73" s="305">
        <f>C$7</f>
        <v>2020</v>
      </c>
      <c r="D73" s="306"/>
      <c r="E73" s="305">
        <f>E$7</f>
        <v>2021</v>
      </c>
      <c r="F73" s="306"/>
      <c r="G73" s="305">
        <f>G$7</f>
        <v>2022</v>
      </c>
      <c r="H73" s="306"/>
      <c r="I73" s="305">
        <f>I$7</f>
        <v>2023</v>
      </c>
      <c r="J73" s="306"/>
      <c r="K73" s="305">
        <f>K$7</f>
        <v>2024</v>
      </c>
      <c r="L73" s="306"/>
      <c r="M73" s="307">
        <f>M$7</f>
        <v>2025</v>
      </c>
      <c r="N73" s="308"/>
    </row>
    <row r="74" spans="1:15" ht="16.5" thickTop="1" thickBot="1" x14ac:dyDescent="0.3">
      <c r="B74" s="87"/>
      <c r="C74" s="115" t="s">
        <v>71</v>
      </c>
      <c r="D74" s="116" t="str">
        <f>CONCATENATE("var ",RIGHT(C73,2),"/",RIGHT(C73-1,2))</f>
        <v>var 20/19</v>
      </c>
      <c r="E74" s="117" t="s">
        <v>71</v>
      </c>
      <c r="F74" s="116" t="str">
        <f>CONCATENATE("var ",RIGHT(E73,2),"/",RIGHT(C73,2))</f>
        <v>var 21/20</v>
      </c>
      <c r="G74" s="117" t="s">
        <v>71</v>
      </c>
      <c r="H74" s="116" t="str">
        <f>CONCATENATE("var ",RIGHT(G73,2),"/",RIGHT(E73,2))</f>
        <v>var 22/21</v>
      </c>
      <c r="I74" s="117" t="s">
        <v>71</v>
      </c>
      <c r="J74" s="116" t="str">
        <f>CONCATENATE("var ",RIGHT(I73,2),"/",RIGHT(G73,2))</f>
        <v>var 23/22</v>
      </c>
      <c r="K74" s="117" t="s">
        <v>71</v>
      </c>
      <c r="L74" s="116" t="str">
        <f>CONCATENATE("var ",RIGHT(K73,2),"/",RIGHT(I73,2))</f>
        <v>var 24/23</v>
      </c>
      <c r="M74" s="117" t="s">
        <v>71</v>
      </c>
      <c r="N74" s="116" t="str">
        <f>CONCATENATE("var ",RIGHT(M73,2),"/",RIGHT(K73,2))</f>
        <v>var 25/24</v>
      </c>
    </row>
    <row r="75" spans="1:15" x14ac:dyDescent="0.25">
      <c r="A75" s="1">
        <v>1</v>
      </c>
      <c r="B75" s="118" t="s">
        <v>73</v>
      </c>
      <c r="C75" s="119">
        <v>22095</v>
      </c>
      <c r="D75" s="120">
        <v>-6.921391861150894E-2</v>
      </c>
      <c r="E75" s="119">
        <v>5767</v>
      </c>
      <c r="F75" s="120">
        <f t="shared" ref="F75:J87" si="8">IFERROR(E75/C75-1,"-")</f>
        <v>-0.73899072188277892</v>
      </c>
      <c r="G75" s="119">
        <v>14333</v>
      </c>
      <c r="H75" s="120">
        <f t="shared" si="8"/>
        <v>1.4853476677648692</v>
      </c>
      <c r="I75" s="119">
        <v>24055</v>
      </c>
      <c r="J75" s="120">
        <f t="shared" si="8"/>
        <v>0.67829484406614116</v>
      </c>
      <c r="K75" s="119">
        <v>25932</v>
      </c>
      <c r="L75" s="120">
        <f t="shared" ref="L75:L87" si="9">IFERROR(K75/I75-1,"-")</f>
        <v>7.8029515693203155E-2</v>
      </c>
      <c r="M75" s="119">
        <v>17361</v>
      </c>
      <c r="N75" s="120">
        <f t="shared" ref="N75:N80" si="10">IFERROR(M75/K75-1,"-")</f>
        <v>-0.33051827857473393</v>
      </c>
    </row>
    <row r="76" spans="1:15" x14ac:dyDescent="0.25">
      <c r="A76" s="1">
        <v>2</v>
      </c>
      <c r="B76" s="118" t="s">
        <v>75</v>
      </c>
      <c r="C76" s="119">
        <v>25202</v>
      </c>
      <c r="D76" s="120">
        <v>0.13160612455659826</v>
      </c>
      <c r="E76" s="119">
        <v>7565</v>
      </c>
      <c r="F76" s="120">
        <f t="shared" si="8"/>
        <v>-0.69982541068169191</v>
      </c>
      <c r="G76" s="119">
        <v>14577</v>
      </c>
      <c r="H76" s="120">
        <f t="shared" si="8"/>
        <v>0.9269001982815599</v>
      </c>
      <c r="I76" s="119">
        <v>19305</v>
      </c>
      <c r="J76" s="120">
        <f t="shared" si="8"/>
        <v>0.32434657336900607</v>
      </c>
      <c r="K76" s="119">
        <v>22226</v>
      </c>
      <c r="L76" s="120">
        <f t="shared" si="9"/>
        <v>0.15130795130795138</v>
      </c>
      <c r="M76" s="119">
        <v>16415</v>
      </c>
      <c r="N76" s="120">
        <f t="shared" si="10"/>
        <v>-0.26145055340592094</v>
      </c>
    </row>
    <row r="77" spans="1:15" x14ac:dyDescent="0.25">
      <c r="A77" s="1">
        <v>3</v>
      </c>
      <c r="B77" s="118" t="s">
        <v>77</v>
      </c>
      <c r="C77" s="119">
        <v>9140</v>
      </c>
      <c r="D77" s="120">
        <v>-0.59394020169709894</v>
      </c>
      <c r="E77" s="119">
        <v>9377</v>
      </c>
      <c r="F77" s="120">
        <f t="shared" si="8"/>
        <v>2.5929978118161889E-2</v>
      </c>
      <c r="G77" s="119">
        <v>16123</v>
      </c>
      <c r="H77" s="120">
        <f t="shared" si="8"/>
        <v>0.71941985709715262</v>
      </c>
      <c r="I77" s="119">
        <v>23789</v>
      </c>
      <c r="J77" s="120">
        <f t="shared" si="8"/>
        <v>0.47546982571481733</v>
      </c>
      <c r="K77" s="119">
        <v>25131</v>
      </c>
      <c r="L77" s="120">
        <f t="shared" si="9"/>
        <v>5.6412627685064498E-2</v>
      </c>
      <c r="M77" s="119">
        <v>18136</v>
      </c>
      <c r="N77" s="120">
        <f t="shared" si="10"/>
        <v>-0.27834149058931201</v>
      </c>
    </row>
    <row r="78" spans="1:15" x14ac:dyDescent="0.25">
      <c r="A78" s="1">
        <v>4</v>
      </c>
      <c r="B78" s="118" t="s">
        <v>79</v>
      </c>
      <c r="C78" s="119">
        <v>0</v>
      </c>
      <c r="D78" s="120">
        <v>-1</v>
      </c>
      <c r="E78" s="119">
        <v>6481</v>
      </c>
      <c r="F78" s="120" t="str">
        <f t="shared" si="8"/>
        <v>-</v>
      </c>
      <c r="G78" s="119">
        <v>14244</v>
      </c>
      <c r="H78" s="120">
        <f t="shared" si="8"/>
        <v>1.1978089800956644</v>
      </c>
      <c r="I78" s="119">
        <v>15444</v>
      </c>
      <c r="J78" s="120">
        <f t="shared" si="8"/>
        <v>8.4245998315080062E-2</v>
      </c>
      <c r="K78" s="119">
        <v>17700</v>
      </c>
      <c r="L78" s="120">
        <f t="shared" si="9"/>
        <v>0.14607614607614616</v>
      </c>
      <c r="M78" s="119">
        <v>14361</v>
      </c>
      <c r="N78" s="120">
        <f t="shared" si="10"/>
        <v>-0.18864406779661014</v>
      </c>
    </row>
    <row r="79" spans="1:15" x14ac:dyDescent="0.25">
      <c r="A79" s="1">
        <v>5</v>
      </c>
      <c r="B79" s="118" t="s">
        <v>81</v>
      </c>
      <c r="C79" s="119">
        <v>0</v>
      </c>
      <c r="D79" s="120">
        <v>-1</v>
      </c>
      <c r="E79" s="119">
        <v>7806</v>
      </c>
      <c r="F79" s="120" t="str">
        <f t="shared" si="8"/>
        <v>-</v>
      </c>
      <c r="G79" s="119">
        <v>18069</v>
      </c>
      <c r="H79" s="120">
        <f t="shared" si="8"/>
        <v>1.3147578785549578</v>
      </c>
      <c r="I79" s="119">
        <v>17776</v>
      </c>
      <c r="J79" s="120">
        <f t="shared" si="8"/>
        <v>-1.6215617909126179E-2</v>
      </c>
      <c r="K79" s="119">
        <v>15641</v>
      </c>
      <c r="L79" s="120">
        <f t="shared" si="9"/>
        <v>-0.1201057605760576</v>
      </c>
      <c r="M79" s="119">
        <v>13808</v>
      </c>
      <c r="N79" s="120">
        <f t="shared" si="10"/>
        <v>-0.11719199539671377</v>
      </c>
    </row>
    <row r="80" spans="1:15" x14ac:dyDescent="0.25">
      <c r="A80" s="1">
        <v>6</v>
      </c>
      <c r="B80" s="118" t="s">
        <v>83</v>
      </c>
      <c r="C80" s="119">
        <v>0</v>
      </c>
      <c r="D80" s="120">
        <v>-1</v>
      </c>
      <c r="E80" s="119">
        <v>8762</v>
      </c>
      <c r="F80" s="120" t="str">
        <f t="shared" si="8"/>
        <v>-</v>
      </c>
      <c r="G80" s="119">
        <v>16036</v>
      </c>
      <c r="H80" s="120">
        <f t="shared" si="8"/>
        <v>0.83017575895914164</v>
      </c>
      <c r="I80" s="119">
        <v>16227</v>
      </c>
      <c r="J80" s="120">
        <f t="shared" si="8"/>
        <v>1.1910700922923345E-2</v>
      </c>
      <c r="K80" s="119">
        <v>15785</v>
      </c>
      <c r="L80" s="120">
        <f t="shared" si="9"/>
        <v>-2.7238553028902435E-2</v>
      </c>
      <c r="M80" s="119">
        <v>12832</v>
      </c>
      <c r="N80" s="120">
        <f t="shared" si="10"/>
        <v>-0.18707633829585046</v>
      </c>
    </row>
    <row r="81" spans="1:14" x14ac:dyDescent="0.25">
      <c r="A81" s="1">
        <v>7</v>
      </c>
      <c r="B81" s="118" t="s">
        <v>85</v>
      </c>
      <c r="C81" s="119">
        <v>0</v>
      </c>
      <c r="D81" s="120">
        <v>-1</v>
      </c>
      <c r="E81" s="119">
        <v>9069</v>
      </c>
      <c r="F81" s="120" t="str">
        <f t="shared" si="8"/>
        <v>-</v>
      </c>
      <c r="G81" s="119">
        <v>15547</v>
      </c>
      <c r="H81" s="120">
        <f t="shared" si="8"/>
        <v>0.71430146653434767</v>
      </c>
      <c r="I81" s="119">
        <v>14312</v>
      </c>
      <c r="J81" s="120">
        <f t="shared" si="8"/>
        <v>-7.9436547243841304E-2</v>
      </c>
      <c r="K81" s="119">
        <v>16523</v>
      </c>
      <c r="L81" s="120">
        <f t="shared" si="9"/>
        <v>0.15448574622694244</v>
      </c>
      <c r="M81" s="119"/>
      <c r="N81" s="120"/>
    </row>
    <row r="82" spans="1:14" x14ac:dyDescent="0.25">
      <c r="A82" s="1">
        <v>8</v>
      </c>
      <c r="B82" s="118" t="s">
        <v>87</v>
      </c>
      <c r="C82" s="119">
        <v>7059</v>
      </c>
      <c r="D82" s="120">
        <v>-0.57460527901651193</v>
      </c>
      <c r="E82" s="119">
        <v>10448</v>
      </c>
      <c r="F82" s="120">
        <f t="shared" si="8"/>
        <v>0.4800963309250601</v>
      </c>
      <c r="G82" s="119">
        <v>14987</v>
      </c>
      <c r="H82" s="120">
        <f t="shared" si="8"/>
        <v>0.43443721286370596</v>
      </c>
      <c r="I82" s="119">
        <v>14091</v>
      </c>
      <c r="J82" s="120">
        <f t="shared" si="8"/>
        <v>-5.9785147127510485E-2</v>
      </c>
      <c r="K82" s="119">
        <v>12525</v>
      </c>
      <c r="L82" s="120">
        <f t="shared" si="9"/>
        <v>-0.11113476687247181</v>
      </c>
      <c r="M82" s="119"/>
      <c r="N82" s="120"/>
    </row>
    <row r="83" spans="1:14" x14ac:dyDescent="0.25">
      <c r="A83" s="1">
        <v>9</v>
      </c>
      <c r="B83" s="118" t="s">
        <v>89</v>
      </c>
      <c r="C83" s="119">
        <v>6841</v>
      </c>
      <c r="D83" s="120">
        <v>-0.62168887905767845</v>
      </c>
      <c r="E83" s="119">
        <v>11942</v>
      </c>
      <c r="F83" s="120">
        <f t="shared" si="8"/>
        <v>0.74565122058178623</v>
      </c>
      <c r="G83" s="119">
        <v>17967</v>
      </c>
      <c r="H83" s="120">
        <f t="shared" si="8"/>
        <v>0.50452185563557195</v>
      </c>
      <c r="I83" s="119">
        <v>13717</v>
      </c>
      <c r="J83" s="120">
        <f t="shared" si="8"/>
        <v>-0.23654477653475814</v>
      </c>
      <c r="K83" s="119">
        <v>14118</v>
      </c>
      <c r="L83" s="120">
        <f t="shared" si="9"/>
        <v>2.9233797477582479E-2</v>
      </c>
      <c r="M83" s="119"/>
      <c r="N83" s="120"/>
    </row>
    <row r="84" spans="1:14" x14ac:dyDescent="0.25">
      <c r="A84" s="1">
        <v>10</v>
      </c>
      <c r="B84" s="118" t="s">
        <v>91</v>
      </c>
      <c r="C84" s="119">
        <v>8314</v>
      </c>
      <c r="D84" s="120">
        <v>-0.57340037970137003</v>
      </c>
      <c r="E84" s="119">
        <v>13877</v>
      </c>
      <c r="F84" s="120">
        <f t="shared" si="8"/>
        <v>0.66911234063026215</v>
      </c>
      <c r="G84" s="119">
        <v>21019</v>
      </c>
      <c r="H84" s="120">
        <f t="shared" si="8"/>
        <v>0.51466455285724577</v>
      </c>
      <c r="I84" s="119">
        <v>18254</v>
      </c>
      <c r="J84" s="120">
        <f t="shared" si="8"/>
        <v>-0.13154764736666824</v>
      </c>
      <c r="K84" s="119">
        <v>13137</v>
      </c>
      <c r="L84" s="120">
        <f t="shared" si="9"/>
        <v>-0.28032212117891964</v>
      </c>
      <c r="M84" s="119"/>
      <c r="N84" s="120"/>
    </row>
    <row r="85" spans="1:14" x14ac:dyDescent="0.25">
      <c r="A85" s="1">
        <v>11</v>
      </c>
      <c r="B85" s="118" t="s">
        <v>93</v>
      </c>
      <c r="C85" s="119">
        <v>6748</v>
      </c>
      <c r="D85" s="120">
        <v>-0.69251799872414099</v>
      </c>
      <c r="E85" s="119">
        <v>16642</v>
      </c>
      <c r="F85" s="120">
        <f t="shared" si="8"/>
        <v>1.4662122110254892</v>
      </c>
      <c r="G85" s="119">
        <v>22714</v>
      </c>
      <c r="H85" s="120">
        <f t="shared" si="8"/>
        <v>0.36485999278932812</v>
      </c>
      <c r="I85" s="119">
        <v>21224</v>
      </c>
      <c r="J85" s="120">
        <f t="shared" si="8"/>
        <v>-6.5598309412697065E-2</v>
      </c>
      <c r="K85" s="119">
        <v>16463</v>
      </c>
      <c r="L85" s="120">
        <f t="shared" si="9"/>
        <v>-0.22432152280437245</v>
      </c>
      <c r="M85" s="119"/>
      <c r="N85" s="120"/>
    </row>
    <row r="86" spans="1:14" x14ac:dyDescent="0.25">
      <c r="A86" s="1">
        <v>12</v>
      </c>
      <c r="B86" s="118" t="s">
        <v>95</v>
      </c>
      <c r="C86" s="119">
        <v>6240</v>
      </c>
      <c r="D86" s="120">
        <v>-0.74801114566086502</v>
      </c>
      <c r="E86" s="119">
        <v>16552</v>
      </c>
      <c r="F86" s="120">
        <f t="shared" si="8"/>
        <v>1.6525641025641025</v>
      </c>
      <c r="G86" s="119">
        <v>23024</v>
      </c>
      <c r="H86" s="120">
        <f t="shared" si="8"/>
        <v>0.39101014983083626</v>
      </c>
      <c r="I86" s="119">
        <v>20840</v>
      </c>
      <c r="J86" s="120">
        <f t="shared" si="8"/>
        <v>-9.4857539958304371E-2</v>
      </c>
      <c r="K86" s="119">
        <v>17909</v>
      </c>
      <c r="L86" s="120">
        <f t="shared" si="9"/>
        <v>-0.14064299424184257</v>
      </c>
      <c r="M86" s="119"/>
      <c r="N86" s="120"/>
    </row>
    <row r="87" spans="1:14" ht="15.75" x14ac:dyDescent="0.25">
      <c r="B87" s="121" t="s">
        <v>32</v>
      </c>
      <c r="C87" s="122">
        <v>99618</v>
      </c>
      <c r="D87" s="123">
        <v>-0.57745475213885489</v>
      </c>
      <c r="E87" s="122">
        <v>124288</v>
      </c>
      <c r="F87" s="123">
        <f t="shared" si="8"/>
        <v>0.24764600774960344</v>
      </c>
      <c r="G87" s="122">
        <v>208640</v>
      </c>
      <c r="H87" s="123">
        <f t="shared" si="8"/>
        <v>0.67868177136972196</v>
      </c>
      <c r="I87" s="122">
        <v>219034</v>
      </c>
      <c r="J87" s="123">
        <f t="shared" si="8"/>
        <v>4.9817868098159579E-2</v>
      </c>
      <c r="K87" s="122">
        <v>213090</v>
      </c>
      <c r="L87" s="123">
        <f t="shared" si="9"/>
        <v>-2.713733940849361E-2</v>
      </c>
      <c r="M87" s="122">
        <v>92913</v>
      </c>
      <c r="N87" s="123">
        <v>-0.24099987746599683</v>
      </c>
    </row>
    <row r="88" spans="1:14" ht="6" customHeight="1" x14ac:dyDescent="0.25"/>
    <row r="89" spans="1:14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3" spans="1:14" x14ac:dyDescent="0.25">
      <c r="M93" s="4"/>
      <c r="N93" s="4"/>
    </row>
  </sheetData>
  <mergeCells count="32">
    <mergeCell ref="B4:N4"/>
    <mergeCell ref="C6:N6"/>
    <mergeCell ref="C7:D7"/>
    <mergeCell ref="E7:F7"/>
    <mergeCell ref="G7:H7"/>
    <mergeCell ref="I7:J7"/>
    <mergeCell ref="K7:L7"/>
    <mergeCell ref="M7:N7"/>
    <mergeCell ref="B26:N26"/>
    <mergeCell ref="C28:N28"/>
    <mergeCell ref="C29:D29"/>
    <mergeCell ref="E29:F29"/>
    <mergeCell ref="G29:H29"/>
    <mergeCell ref="I29:J29"/>
    <mergeCell ref="K29:L29"/>
    <mergeCell ref="M29:N29"/>
    <mergeCell ref="B48:N48"/>
    <mergeCell ref="C50:N50"/>
    <mergeCell ref="C51:D51"/>
    <mergeCell ref="E51:F51"/>
    <mergeCell ref="G51:H51"/>
    <mergeCell ref="I51:J51"/>
    <mergeCell ref="K51:L51"/>
    <mergeCell ref="M51:N51"/>
    <mergeCell ref="B70:N70"/>
    <mergeCell ref="C72:N72"/>
    <mergeCell ref="C73:D73"/>
    <mergeCell ref="E73:F73"/>
    <mergeCell ref="G73:H73"/>
    <mergeCell ref="I73:J73"/>
    <mergeCell ref="K73:L73"/>
    <mergeCell ref="M73:N73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7EA65-3D25-4060-A16B-7C32D88EBB2B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4" spans="1:12" ht="42" customHeight="1" thickBot="1" x14ac:dyDescent="0.3">
      <c r="B4" s="278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8"/>
      <c r="D4" s="278"/>
      <c r="E4" s="278"/>
      <c r="F4" s="278"/>
      <c r="G4" s="278"/>
      <c r="H4" s="278"/>
      <c r="I4" s="278"/>
      <c r="J4" s="278"/>
      <c r="K4" s="278"/>
    </row>
    <row r="5" spans="1:12" ht="6" customHeight="1" x14ac:dyDescent="0.25"/>
    <row r="6" spans="1:12" s="147" customFormat="1" ht="72" customHeight="1" x14ac:dyDescent="0.25">
      <c r="B6" s="148"/>
      <c r="C6" s="173" t="s">
        <v>257</v>
      </c>
      <c r="D6" s="173" t="s">
        <v>224</v>
      </c>
      <c r="E6" s="173" t="s">
        <v>225</v>
      </c>
      <c r="F6" s="173" t="s">
        <v>226</v>
      </c>
      <c r="G6" s="173" t="s">
        <v>227</v>
      </c>
      <c r="H6" s="173" t="s">
        <v>228</v>
      </c>
      <c r="I6" s="174" t="str">
        <f>CONCATENATE("var. ",RIGHT(H6,2),"/",RIGHT(G6,2))</f>
        <v>var. 25/24</v>
      </c>
      <c r="J6" s="173" t="str">
        <f>CONCATENATE("dif. ",RIGHT(H6,2),"/",RIGHT(G6,2))</f>
        <v>dif. 25/24</v>
      </c>
      <c r="K6" s="174" t="str">
        <f>CONCATENATE("Cuota s/ total lugares de residencia ",RIGHT(H6,4))</f>
        <v>Cuota s/ total lugares de residencia 2025</v>
      </c>
    </row>
    <row r="7" spans="1:12" s="147" customFormat="1" x14ac:dyDescent="0.25">
      <c r="B7" s="153" t="s">
        <v>45</v>
      </c>
      <c r="C7" s="154"/>
      <c r="D7" s="154"/>
      <c r="E7" s="154"/>
      <c r="F7" s="154"/>
      <c r="G7" s="154"/>
      <c r="H7" s="154"/>
      <c r="I7" s="154"/>
      <c r="J7" s="154"/>
      <c r="K7" s="154"/>
    </row>
    <row r="8" spans="1:12" x14ac:dyDescent="0.25">
      <c r="A8" s="1"/>
      <c r="B8" s="157" t="s">
        <v>70</v>
      </c>
      <c r="C8" s="177">
        <v>11026</v>
      </c>
      <c r="D8" s="177">
        <v>653021</v>
      </c>
      <c r="E8" s="177">
        <v>2454749</v>
      </c>
      <c r="F8" s="177">
        <v>2670685</v>
      </c>
      <c r="G8" s="177">
        <v>2787401</v>
      </c>
      <c r="H8" s="177">
        <v>2736656</v>
      </c>
      <c r="I8" s="178">
        <f>IFERROR(H8/G8-1,"-")</f>
        <v>-1.8205130872809505E-2</v>
      </c>
      <c r="J8" s="177">
        <f>H8-G8</f>
        <v>-50745</v>
      </c>
      <c r="K8" s="178">
        <f>H8/H$8</f>
        <v>1</v>
      </c>
      <c r="L8" s="81"/>
    </row>
    <row r="9" spans="1:12" x14ac:dyDescent="0.25">
      <c r="A9" s="1" t="s">
        <v>98</v>
      </c>
      <c r="B9" s="160" t="s">
        <v>99</v>
      </c>
      <c r="C9" s="161">
        <v>8684</v>
      </c>
      <c r="D9" s="161">
        <v>236913</v>
      </c>
      <c r="E9" s="161">
        <v>410726</v>
      </c>
      <c r="F9" s="161">
        <v>431964</v>
      </c>
      <c r="G9" s="161">
        <v>431283</v>
      </c>
      <c r="H9" s="161">
        <v>420260</v>
      </c>
      <c r="I9" s="162">
        <f>IFERROR(H9/G9-1,"-")</f>
        <v>-2.55586239197928E-2</v>
      </c>
      <c r="J9" s="161">
        <f t="shared" ref="J9:J19" si="0">H9-G9</f>
        <v>-11023</v>
      </c>
      <c r="K9" s="162">
        <f>H9/H$8</f>
        <v>0.15356698101624758</v>
      </c>
      <c r="L9" s="81"/>
    </row>
    <row r="10" spans="1:12" x14ac:dyDescent="0.25">
      <c r="A10" s="163" t="s">
        <v>105</v>
      </c>
      <c r="B10" s="164" t="s">
        <v>105</v>
      </c>
      <c r="C10" s="165">
        <v>3879</v>
      </c>
      <c r="D10" s="165">
        <v>102740</v>
      </c>
      <c r="E10" s="165">
        <v>109327</v>
      </c>
      <c r="F10" s="165">
        <v>137289</v>
      </c>
      <c r="G10" s="165">
        <v>148398</v>
      </c>
      <c r="H10" s="165">
        <v>116313</v>
      </c>
      <c r="I10" s="166">
        <f>IFERROR(H10/G10-1,"-")</f>
        <v>-0.2162091133303683</v>
      </c>
      <c r="J10" s="165">
        <f t="shared" si="0"/>
        <v>-32085</v>
      </c>
      <c r="K10" s="166">
        <f>H10/H$8</f>
        <v>4.2501870896451729E-2</v>
      </c>
      <c r="L10" s="81"/>
    </row>
    <row r="11" spans="1:12" x14ac:dyDescent="0.25">
      <c r="A11" s="163" t="s">
        <v>102</v>
      </c>
      <c r="B11" s="164" t="s">
        <v>102</v>
      </c>
      <c r="C11" s="165">
        <v>4805</v>
      </c>
      <c r="D11" s="165">
        <v>134173</v>
      </c>
      <c r="E11" s="165">
        <v>301399</v>
      </c>
      <c r="F11" s="165">
        <v>294675</v>
      </c>
      <c r="G11" s="165">
        <v>282885</v>
      </c>
      <c r="H11" s="165">
        <v>303947</v>
      </c>
      <c r="I11" s="166">
        <f>IFERROR(H11/G11-1,"-")</f>
        <v>7.4454283542782385E-2</v>
      </c>
      <c r="J11" s="165">
        <f t="shared" si="0"/>
        <v>21062</v>
      </c>
      <c r="K11" s="166">
        <f>H11/H$8</f>
        <v>0.11106511011979583</v>
      </c>
      <c r="L11" s="81"/>
    </row>
    <row r="12" spans="1:12" x14ac:dyDescent="0.25">
      <c r="A12" s="1"/>
      <c r="B12" s="160" t="s">
        <v>109</v>
      </c>
      <c r="C12" s="161">
        <v>2342</v>
      </c>
      <c r="D12" s="161">
        <v>416108</v>
      </c>
      <c r="E12" s="161">
        <v>2044023</v>
      </c>
      <c r="F12" s="161">
        <v>2238721</v>
      </c>
      <c r="G12" s="161">
        <v>2356118</v>
      </c>
      <c r="H12" s="161">
        <v>2316396</v>
      </c>
      <c r="I12" s="162">
        <f>IFERROR(H12/G12-1,"-")</f>
        <v>-1.685908770273814E-2</v>
      </c>
      <c r="J12" s="161">
        <f t="shared" si="0"/>
        <v>-39722</v>
      </c>
      <c r="K12" s="162">
        <f>H12/H$8</f>
        <v>0.84643301898375245</v>
      </c>
      <c r="L12" s="81"/>
    </row>
    <row r="13" spans="1:12" s="57" customFormat="1" x14ac:dyDescent="0.25">
      <c r="A13" s="163"/>
      <c r="B13" s="164" t="s">
        <v>112</v>
      </c>
      <c r="C13" s="165">
        <v>486</v>
      </c>
      <c r="D13" s="165">
        <v>36911</v>
      </c>
      <c r="E13" s="165">
        <v>1088743</v>
      </c>
      <c r="F13" s="165">
        <v>1193615</v>
      </c>
      <c r="G13" s="165">
        <v>1285987</v>
      </c>
      <c r="H13" s="165">
        <v>1248218</v>
      </c>
      <c r="I13" s="166">
        <f t="shared" ref="I13:I20" si="1">IFERROR(H13/G13-1,"-")</f>
        <v>-2.9369659257830749E-2</v>
      </c>
      <c r="J13" s="165">
        <f t="shared" si="0"/>
        <v>-37769</v>
      </c>
      <c r="K13" s="166">
        <f t="shared" ref="K13:K20" si="2">H13/H$8</f>
        <v>0.45611066937167111</v>
      </c>
      <c r="L13" s="167"/>
    </row>
    <row r="14" spans="1:12" s="57" customFormat="1" x14ac:dyDescent="0.25">
      <c r="A14" s="163"/>
      <c r="B14" s="164" t="s">
        <v>115</v>
      </c>
      <c r="C14" s="165">
        <v>529</v>
      </c>
      <c r="D14" s="165">
        <v>81566</v>
      </c>
      <c r="E14" s="165">
        <v>232142</v>
      </c>
      <c r="F14" s="165">
        <v>246979</v>
      </c>
      <c r="G14" s="165">
        <v>225798</v>
      </c>
      <c r="H14" s="165">
        <v>236018</v>
      </c>
      <c r="I14" s="166">
        <f t="shared" si="1"/>
        <v>4.5261694080549919E-2</v>
      </c>
      <c r="J14" s="165">
        <f t="shared" si="0"/>
        <v>10220</v>
      </c>
      <c r="K14" s="166">
        <f t="shared" si="2"/>
        <v>8.6243210692173222E-2</v>
      </c>
      <c r="L14" s="167"/>
    </row>
    <row r="15" spans="1:12" x14ac:dyDescent="0.25">
      <c r="A15" s="163"/>
      <c r="B15" s="164" t="s">
        <v>118</v>
      </c>
      <c r="C15" s="165">
        <v>118</v>
      </c>
      <c r="D15" s="165">
        <v>48177</v>
      </c>
      <c r="E15" s="165">
        <v>75211</v>
      </c>
      <c r="F15" s="165">
        <v>88212</v>
      </c>
      <c r="G15" s="165">
        <v>98115</v>
      </c>
      <c r="H15" s="165">
        <v>100892</v>
      </c>
      <c r="I15" s="166">
        <f t="shared" si="1"/>
        <v>2.8303521377974761E-2</v>
      </c>
      <c r="J15" s="165">
        <f t="shared" si="0"/>
        <v>2777</v>
      </c>
      <c r="K15" s="166">
        <f t="shared" si="2"/>
        <v>3.6866891564010969E-2</v>
      </c>
      <c r="L15" s="81"/>
    </row>
    <row r="16" spans="1:12" x14ac:dyDescent="0.25">
      <c r="A16" s="163"/>
      <c r="B16" s="164" t="s">
        <v>125</v>
      </c>
      <c r="C16" s="165">
        <v>44</v>
      </c>
      <c r="D16" s="165">
        <v>43592</v>
      </c>
      <c r="E16" s="165">
        <v>92592</v>
      </c>
      <c r="F16" s="165">
        <v>94339</v>
      </c>
      <c r="G16" s="165">
        <v>97442</v>
      </c>
      <c r="H16" s="165">
        <v>84518</v>
      </c>
      <c r="I16" s="166">
        <f t="shared" si="1"/>
        <v>-0.13263274563329985</v>
      </c>
      <c r="J16" s="165">
        <f t="shared" si="0"/>
        <v>-12924</v>
      </c>
      <c r="K16" s="166">
        <f t="shared" si="2"/>
        <v>3.0883677013113814E-2</v>
      </c>
      <c r="L16" s="81"/>
    </row>
    <row r="17" spans="1:12" x14ac:dyDescent="0.25">
      <c r="A17" s="163"/>
      <c r="B17" s="164" t="s">
        <v>121</v>
      </c>
      <c r="C17" s="165">
        <v>77</v>
      </c>
      <c r="D17" s="165">
        <v>44724</v>
      </c>
      <c r="E17" s="165">
        <v>69929</v>
      </c>
      <c r="F17" s="165">
        <v>73827</v>
      </c>
      <c r="G17" s="165">
        <v>75568</v>
      </c>
      <c r="H17" s="165">
        <v>70703</v>
      </c>
      <c r="I17" s="166">
        <f t="shared" si="1"/>
        <v>-6.4379102265509247E-2</v>
      </c>
      <c r="J17" s="165">
        <f t="shared" si="0"/>
        <v>-4865</v>
      </c>
      <c r="K17" s="166">
        <f t="shared" si="2"/>
        <v>2.5835545278617408E-2</v>
      </c>
      <c r="L17" s="81"/>
    </row>
    <row r="18" spans="1:12" x14ac:dyDescent="0.25">
      <c r="A18" s="163"/>
      <c r="B18" s="164" t="s">
        <v>130</v>
      </c>
      <c r="C18" s="165">
        <v>16</v>
      </c>
      <c r="D18" s="165">
        <v>940</v>
      </c>
      <c r="E18" s="165">
        <v>6382</v>
      </c>
      <c r="F18" s="165">
        <v>8954</v>
      </c>
      <c r="G18" s="165">
        <v>9037</v>
      </c>
      <c r="H18" s="165">
        <v>8273</v>
      </c>
      <c r="I18" s="166">
        <f t="shared" si="1"/>
        <v>-8.4541330087418376E-2</v>
      </c>
      <c r="J18" s="165">
        <f t="shared" si="0"/>
        <v>-764</v>
      </c>
      <c r="K18" s="166">
        <f t="shared" si="2"/>
        <v>3.0230324892861946E-3</v>
      </c>
      <c r="L18" s="81"/>
    </row>
    <row r="19" spans="1:12" x14ac:dyDescent="0.25">
      <c r="A19" s="163" t="s">
        <v>146</v>
      </c>
      <c r="B19" s="164" t="s">
        <v>133</v>
      </c>
      <c r="C19" s="165">
        <v>23</v>
      </c>
      <c r="D19" s="165">
        <v>1508</v>
      </c>
      <c r="E19" s="165">
        <v>4948</v>
      </c>
      <c r="F19" s="165">
        <v>6600</v>
      </c>
      <c r="G19" s="165">
        <v>3661</v>
      </c>
      <c r="H19" s="165">
        <v>4115</v>
      </c>
      <c r="I19" s="166">
        <f t="shared" si="1"/>
        <v>0.12400983337885818</v>
      </c>
      <c r="J19" s="165">
        <f t="shared" si="0"/>
        <v>454</v>
      </c>
      <c r="K19" s="166">
        <f t="shared" si="2"/>
        <v>1.5036599411836929E-3</v>
      </c>
      <c r="L19" s="81"/>
    </row>
    <row r="20" spans="1:12" x14ac:dyDescent="0.25">
      <c r="A20" s="163" t="s">
        <v>147</v>
      </c>
      <c r="B20" s="169" t="s">
        <v>147</v>
      </c>
      <c r="C20" s="170">
        <f t="shared" ref="C20" si="3">C12-SUM(C13:C19)</f>
        <v>1049</v>
      </c>
      <c r="D20" s="170">
        <f t="shared" ref="D20:H20" si="4">D12-SUM(D13:D19)</f>
        <v>158690</v>
      </c>
      <c r="E20" s="170">
        <f t="shared" si="4"/>
        <v>474076</v>
      </c>
      <c r="F20" s="170">
        <f t="shared" si="4"/>
        <v>526195</v>
      </c>
      <c r="G20" s="170">
        <f t="shared" si="4"/>
        <v>560510</v>
      </c>
      <c r="H20" s="170">
        <f t="shared" si="4"/>
        <v>563659</v>
      </c>
      <c r="I20" s="171">
        <f t="shared" si="1"/>
        <v>5.6180978037858598E-3</v>
      </c>
      <c r="J20" s="170">
        <f>H20-G20</f>
        <v>3149</v>
      </c>
      <c r="K20" s="171">
        <f t="shared" si="2"/>
        <v>0.20596633263369601</v>
      </c>
      <c r="L20" s="81"/>
    </row>
    <row r="21" spans="1:12" s="147" customFormat="1" x14ac:dyDescent="0.25">
      <c r="A21" s="163"/>
      <c r="B21" s="156" t="s">
        <v>46</v>
      </c>
      <c r="C21" s="154"/>
      <c r="D21" s="154"/>
      <c r="E21" s="154"/>
      <c r="F21" s="154"/>
      <c r="G21" s="154"/>
      <c r="H21" s="154"/>
      <c r="I21" s="154"/>
      <c r="J21" s="154"/>
      <c r="K21" s="154"/>
    </row>
    <row r="22" spans="1:12" x14ac:dyDescent="0.25">
      <c r="A22" s="163"/>
      <c r="B22" s="157" t="s">
        <v>70</v>
      </c>
      <c r="C22" s="177">
        <v>0</v>
      </c>
      <c r="D22" s="177">
        <v>274949</v>
      </c>
      <c r="E22" s="177">
        <v>1029864</v>
      </c>
      <c r="F22" s="177">
        <v>1069466</v>
      </c>
      <c r="G22" s="177">
        <v>1059592</v>
      </c>
      <c r="H22" s="177">
        <v>1003656</v>
      </c>
      <c r="I22" s="178">
        <f>IFERROR(H22/G22-1,"-")</f>
        <v>-5.2790130540811941E-2</v>
      </c>
      <c r="J22" s="177">
        <f>H22-G22</f>
        <v>-55936</v>
      </c>
      <c r="K22" s="178">
        <f>H22/H$8</f>
        <v>0.36674540022567687</v>
      </c>
      <c r="L22" s="81"/>
    </row>
    <row r="23" spans="1:12" x14ac:dyDescent="0.25">
      <c r="A23" s="163" t="s">
        <v>98</v>
      </c>
      <c r="B23" s="160" t="s">
        <v>99</v>
      </c>
      <c r="C23" s="161">
        <v>0</v>
      </c>
      <c r="D23" s="161">
        <v>87510</v>
      </c>
      <c r="E23" s="161">
        <v>87469</v>
      </c>
      <c r="F23" s="161">
        <v>83729</v>
      </c>
      <c r="G23" s="161">
        <v>72097</v>
      </c>
      <c r="H23" s="161">
        <v>61830</v>
      </c>
      <c r="I23" s="162">
        <f>IFERROR(H23/G23-1,"-")</f>
        <v>-0.14240537054246361</v>
      </c>
      <c r="J23" s="161">
        <f t="shared" ref="J23:J33" si="5">H23-G23</f>
        <v>-10267</v>
      </c>
      <c r="K23" s="162">
        <f>H23/H$8</f>
        <v>2.2593267111394345E-2</v>
      </c>
      <c r="L23" s="81"/>
    </row>
    <row r="24" spans="1:12" x14ac:dyDescent="0.25">
      <c r="A24" s="163" t="s">
        <v>105</v>
      </c>
      <c r="B24" s="164" t="s">
        <v>105</v>
      </c>
      <c r="C24" s="165">
        <v>0</v>
      </c>
      <c r="D24" s="165">
        <v>40559</v>
      </c>
      <c r="E24" s="165">
        <v>27992</v>
      </c>
      <c r="F24" s="165">
        <v>26527</v>
      </c>
      <c r="G24" s="165">
        <v>21370</v>
      </c>
      <c r="H24" s="165">
        <v>19128</v>
      </c>
      <c r="I24" s="166">
        <f>IFERROR(H24/G24-1,"-")</f>
        <v>-0.10491343004211506</v>
      </c>
      <c r="J24" s="165">
        <f t="shared" si="5"/>
        <v>-2242</v>
      </c>
      <c r="K24" s="166">
        <f>H24/H$8</f>
        <v>6.9895522126273814E-3</v>
      </c>
      <c r="L24" s="81"/>
    </row>
    <row r="25" spans="1:12" x14ac:dyDescent="0.25">
      <c r="A25" s="163" t="s">
        <v>102</v>
      </c>
      <c r="B25" s="164" t="s">
        <v>102</v>
      </c>
      <c r="C25" s="165">
        <v>0</v>
      </c>
      <c r="D25" s="165">
        <v>46951</v>
      </c>
      <c r="E25" s="165">
        <v>59477</v>
      </c>
      <c r="F25" s="165">
        <v>57202</v>
      </c>
      <c r="G25" s="165">
        <v>50727</v>
      </c>
      <c r="H25" s="165">
        <v>42702</v>
      </c>
      <c r="I25" s="166">
        <f>IFERROR(H25/G25-1,"-")</f>
        <v>-0.15819977526760898</v>
      </c>
      <c r="J25" s="165">
        <f t="shared" si="5"/>
        <v>-8025</v>
      </c>
      <c r="K25" s="166">
        <f>H25/H$8</f>
        <v>1.5603714898766963E-2</v>
      </c>
      <c r="L25" s="81"/>
    </row>
    <row r="26" spans="1:12" x14ac:dyDescent="0.25">
      <c r="A26" s="163"/>
      <c r="B26" s="160" t="s">
        <v>109</v>
      </c>
      <c r="C26" s="161">
        <v>0</v>
      </c>
      <c r="D26" s="161">
        <v>187439</v>
      </c>
      <c r="E26" s="161">
        <v>942395</v>
      </c>
      <c r="F26" s="161">
        <v>985737</v>
      </c>
      <c r="G26" s="161">
        <v>987495</v>
      </c>
      <c r="H26" s="161">
        <v>941826</v>
      </c>
      <c r="I26" s="162">
        <f>IFERROR(H26/G26-1,"-")</f>
        <v>-4.624732277125454E-2</v>
      </c>
      <c r="J26" s="161">
        <f t="shared" si="5"/>
        <v>-45669</v>
      </c>
      <c r="K26" s="162">
        <f>H26/H$8</f>
        <v>0.34415213311428255</v>
      </c>
      <c r="L26" s="81"/>
    </row>
    <row r="27" spans="1:12" s="57" customFormat="1" x14ac:dyDescent="0.25">
      <c r="A27" s="163"/>
      <c r="B27" s="164" t="s">
        <v>112</v>
      </c>
      <c r="C27" s="165">
        <v>0</v>
      </c>
      <c r="D27" s="165">
        <v>17245</v>
      </c>
      <c r="E27" s="165">
        <v>521079</v>
      </c>
      <c r="F27" s="165">
        <v>561465</v>
      </c>
      <c r="G27" s="165">
        <v>571290</v>
      </c>
      <c r="H27" s="165">
        <v>540108</v>
      </c>
      <c r="I27" s="166">
        <f t="shared" ref="I27:I34" si="6">IFERROR(H27/G27-1,"-")</f>
        <v>-5.4581736070997255E-2</v>
      </c>
      <c r="J27" s="165">
        <f t="shared" si="5"/>
        <v>-31182</v>
      </c>
      <c r="K27" s="166">
        <f t="shared" ref="K27:K34" si="7">H27/H$8</f>
        <v>0.19736057436521068</v>
      </c>
      <c r="L27" s="167"/>
    </row>
    <row r="28" spans="1:12" s="57" customFormat="1" x14ac:dyDescent="0.25">
      <c r="A28" s="163"/>
      <c r="B28" s="164" t="s">
        <v>115</v>
      </c>
      <c r="C28" s="165">
        <v>0</v>
      </c>
      <c r="D28" s="165">
        <v>38543</v>
      </c>
      <c r="E28" s="165">
        <v>119906</v>
      </c>
      <c r="F28" s="165">
        <v>118355</v>
      </c>
      <c r="G28" s="165">
        <v>100343</v>
      </c>
      <c r="H28" s="165">
        <v>101616</v>
      </c>
      <c r="I28" s="166">
        <f t="shared" si="6"/>
        <v>1.2686485355231536E-2</v>
      </c>
      <c r="J28" s="165">
        <f t="shared" si="5"/>
        <v>1273</v>
      </c>
      <c r="K28" s="166">
        <f t="shared" si="7"/>
        <v>3.7131448015388126E-2</v>
      </c>
      <c r="L28" s="167"/>
    </row>
    <row r="29" spans="1:12" x14ac:dyDescent="0.25">
      <c r="A29" s="163"/>
      <c r="B29" s="164" t="s">
        <v>118</v>
      </c>
      <c r="C29" s="165">
        <v>0</v>
      </c>
      <c r="D29" s="165">
        <v>19496</v>
      </c>
      <c r="E29" s="165">
        <v>29144</v>
      </c>
      <c r="F29" s="165">
        <v>26909</v>
      </c>
      <c r="G29" s="165">
        <v>23443</v>
      </c>
      <c r="H29" s="165">
        <v>22401</v>
      </c>
      <c r="I29" s="166">
        <f t="shared" si="6"/>
        <v>-4.4448236147250797E-2</v>
      </c>
      <c r="J29" s="165">
        <f t="shared" si="5"/>
        <v>-1042</v>
      </c>
      <c r="K29" s="166">
        <f t="shared" si="7"/>
        <v>8.1855373857730018E-3</v>
      </c>
      <c r="L29" s="81"/>
    </row>
    <row r="30" spans="1:12" x14ac:dyDescent="0.25">
      <c r="A30" s="163"/>
      <c r="B30" s="164" t="s">
        <v>125</v>
      </c>
      <c r="C30" s="165">
        <v>0</v>
      </c>
      <c r="D30" s="165">
        <v>18411</v>
      </c>
      <c r="E30" s="165">
        <v>45469</v>
      </c>
      <c r="F30" s="165">
        <v>40505</v>
      </c>
      <c r="G30" s="165">
        <v>40592</v>
      </c>
      <c r="H30" s="165">
        <v>37304</v>
      </c>
      <c r="I30" s="166">
        <f t="shared" si="6"/>
        <v>-8.1001182499014557E-2</v>
      </c>
      <c r="J30" s="165">
        <f t="shared" si="5"/>
        <v>-3288</v>
      </c>
      <c r="K30" s="166">
        <f t="shared" si="7"/>
        <v>1.3631234616261598E-2</v>
      </c>
      <c r="L30" s="81"/>
    </row>
    <row r="31" spans="1:12" x14ac:dyDescent="0.25">
      <c r="A31" s="163"/>
      <c r="B31" s="164" t="s">
        <v>121</v>
      </c>
      <c r="C31" s="165">
        <v>0</v>
      </c>
      <c r="D31" s="165">
        <v>25913</v>
      </c>
      <c r="E31" s="165">
        <v>38119</v>
      </c>
      <c r="F31" s="165">
        <v>37086</v>
      </c>
      <c r="G31" s="165">
        <v>39687</v>
      </c>
      <c r="H31" s="165">
        <v>34766</v>
      </c>
      <c r="I31" s="166">
        <f t="shared" si="6"/>
        <v>-0.12399526293244645</v>
      </c>
      <c r="J31" s="165">
        <f t="shared" si="5"/>
        <v>-4921</v>
      </c>
      <c r="K31" s="166">
        <f t="shared" si="7"/>
        <v>1.2703825398588643E-2</v>
      </c>
      <c r="L31" s="81"/>
    </row>
    <row r="32" spans="1:12" x14ac:dyDescent="0.25">
      <c r="A32" s="163"/>
      <c r="B32" s="164" t="s">
        <v>130</v>
      </c>
      <c r="C32" s="165">
        <v>0</v>
      </c>
      <c r="D32" s="165">
        <v>262</v>
      </c>
      <c r="E32" s="165">
        <v>2912</v>
      </c>
      <c r="F32" s="165">
        <v>3081</v>
      </c>
      <c r="G32" s="165">
        <v>3538</v>
      </c>
      <c r="H32" s="165">
        <v>3728</v>
      </c>
      <c r="I32" s="166">
        <f t="shared" si="6"/>
        <v>5.3702656868287235E-2</v>
      </c>
      <c r="J32" s="165">
        <f t="shared" si="5"/>
        <v>190</v>
      </c>
      <c r="K32" s="166">
        <f t="shared" si="7"/>
        <v>1.3622464789144124E-3</v>
      </c>
      <c r="L32" s="81"/>
    </row>
    <row r="33" spans="1:12" x14ac:dyDescent="0.25">
      <c r="A33" s="163" t="s">
        <v>146</v>
      </c>
      <c r="B33" s="164" t="s">
        <v>133</v>
      </c>
      <c r="C33" s="165">
        <v>0</v>
      </c>
      <c r="D33" s="165">
        <v>332</v>
      </c>
      <c r="E33" s="165">
        <v>2016</v>
      </c>
      <c r="F33" s="165">
        <v>2910</v>
      </c>
      <c r="G33" s="165">
        <v>1609</v>
      </c>
      <c r="H33" s="165">
        <v>1859</v>
      </c>
      <c r="I33" s="166">
        <f t="shared" si="6"/>
        <v>0.15537600994406464</v>
      </c>
      <c r="J33" s="165">
        <f t="shared" si="5"/>
        <v>250</v>
      </c>
      <c r="K33" s="166">
        <f t="shared" si="7"/>
        <v>6.7929619214106556E-4</v>
      </c>
      <c r="L33" s="81"/>
    </row>
    <row r="34" spans="1:12" x14ac:dyDescent="0.25">
      <c r="A34" s="163" t="s">
        <v>147</v>
      </c>
      <c r="B34" s="169" t="s">
        <v>147</v>
      </c>
      <c r="C34" s="170">
        <f t="shared" ref="C34" si="8">C26-SUM(C27:C33)</f>
        <v>0</v>
      </c>
      <c r="D34" s="170">
        <f t="shared" ref="D34:H34" si="9">D26-SUM(D27:D33)</f>
        <v>67237</v>
      </c>
      <c r="E34" s="170">
        <f t="shared" si="9"/>
        <v>183750</v>
      </c>
      <c r="F34" s="170">
        <f t="shared" si="9"/>
        <v>195426</v>
      </c>
      <c r="G34" s="170">
        <f t="shared" si="9"/>
        <v>206993</v>
      </c>
      <c r="H34" s="170">
        <f t="shared" si="9"/>
        <v>200044</v>
      </c>
      <c r="I34" s="171">
        <f t="shared" si="6"/>
        <v>-3.3571183566594054E-2</v>
      </c>
      <c r="J34" s="170">
        <f>H34-G34</f>
        <v>-6949</v>
      </c>
      <c r="K34" s="171">
        <f t="shared" si="7"/>
        <v>7.3097970662005018E-2</v>
      </c>
      <c r="L34" s="81"/>
    </row>
    <row r="35" spans="1:12" s="147" customFormat="1" x14ac:dyDescent="0.25">
      <c r="A35" s="163"/>
      <c r="B35" s="156" t="s">
        <v>47</v>
      </c>
      <c r="C35" s="154"/>
      <c r="D35" s="154"/>
      <c r="E35" s="154"/>
      <c r="F35" s="154"/>
      <c r="G35" s="154"/>
      <c r="H35" s="154"/>
      <c r="I35" s="154"/>
      <c r="J35" s="154"/>
      <c r="K35" s="154"/>
    </row>
    <row r="36" spans="1:12" x14ac:dyDescent="0.25">
      <c r="A36" s="163"/>
      <c r="B36" s="157" t="s">
        <v>70</v>
      </c>
      <c r="C36" s="177">
        <v>0</v>
      </c>
      <c r="D36" s="177">
        <v>113899</v>
      </c>
      <c r="E36" s="177">
        <v>672943</v>
      </c>
      <c r="F36" s="177">
        <v>758024</v>
      </c>
      <c r="G36" s="177">
        <v>787690</v>
      </c>
      <c r="H36" s="177">
        <v>808867</v>
      </c>
      <c r="I36" s="178">
        <f>IFERROR(H36/G36-1,"-")</f>
        <v>2.6884942045728666E-2</v>
      </c>
      <c r="J36" s="177">
        <f>H36-G36</f>
        <v>21177</v>
      </c>
      <c r="K36" s="178">
        <f>H36/H$8</f>
        <v>0.29556765629293563</v>
      </c>
      <c r="L36" s="81"/>
    </row>
    <row r="37" spans="1:12" x14ac:dyDescent="0.25">
      <c r="A37" s="163" t="s">
        <v>98</v>
      </c>
      <c r="B37" s="160" t="s">
        <v>99</v>
      </c>
      <c r="C37" s="161">
        <v>0</v>
      </c>
      <c r="D37" s="161">
        <v>23727</v>
      </c>
      <c r="E37" s="161">
        <v>44483</v>
      </c>
      <c r="F37" s="161">
        <v>44590</v>
      </c>
      <c r="G37" s="161">
        <v>47095</v>
      </c>
      <c r="H37" s="161">
        <v>48568</v>
      </c>
      <c r="I37" s="162">
        <f>IFERROR(H37/G37-1,"-")</f>
        <v>3.1277205648158057E-2</v>
      </c>
      <c r="J37" s="161">
        <f t="shared" ref="J37:J47" si="10">H37-G37</f>
        <v>1473</v>
      </c>
      <c r="K37" s="162">
        <f>H37/H$8</f>
        <v>1.7747206810063084E-2</v>
      </c>
      <c r="L37" s="81"/>
    </row>
    <row r="38" spans="1:12" x14ac:dyDescent="0.25">
      <c r="A38" s="163" t="s">
        <v>105</v>
      </c>
      <c r="B38" s="164" t="s">
        <v>105</v>
      </c>
      <c r="C38" s="165">
        <v>0</v>
      </c>
      <c r="D38" s="165">
        <v>11642</v>
      </c>
      <c r="E38" s="165">
        <v>14878</v>
      </c>
      <c r="F38" s="165">
        <v>18314</v>
      </c>
      <c r="G38" s="165">
        <v>22158</v>
      </c>
      <c r="H38" s="165">
        <v>19031</v>
      </c>
      <c r="I38" s="166">
        <f>IFERROR(H38/G38-1,"-")</f>
        <v>-0.14112284502211392</v>
      </c>
      <c r="J38" s="165">
        <f t="shared" si="10"/>
        <v>-3127</v>
      </c>
      <c r="K38" s="166">
        <f>H38/H$8</f>
        <v>6.9541074946942545E-3</v>
      </c>
      <c r="L38" s="81"/>
    </row>
    <row r="39" spans="1:12" x14ac:dyDescent="0.25">
      <c r="A39" s="163" t="s">
        <v>102</v>
      </c>
      <c r="B39" s="164" t="s">
        <v>102</v>
      </c>
      <c r="C39" s="165">
        <v>0</v>
      </c>
      <c r="D39" s="165">
        <v>12085</v>
      </c>
      <c r="E39" s="165">
        <v>29605</v>
      </c>
      <c r="F39" s="165">
        <v>26276</v>
      </c>
      <c r="G39" s="165">
        <v>24937</v>
      </c>
      <c r="H39" s="165">
        <v>29537</v>
      </c>
      <c r="I39" s="166">
        <f>IFERROR(H39/G39-1,"-")</f>
        <v>0.18446485142559244</v>
      </c>
      <c r="J39" s="165">
        <f t="shared" si="10"/>
        <v>4600</v>
      </c>
      <c r="K39" s="166">
        <f>H39/H$8</f>
        <v>1.079309931536883E-2</v>
      </c>
      <c r="L39" s="81"/>
    </row>
    <row r="40" spans="1:12" x14ac:dyDescent="0.25">
      <c r="A40" s="163"/>
      <c r="B40" s="160" t="s">
        <v>109</v>
      </c>
      <c r="C40" s="161">
        <v>0</v>
      </c>
      <c r="D40" s="161">
        <v>90172</v>
      </c>
      <c r="E40" s="161">
        <v>628460</v>
      </c>
      <c r="F40" s="161">
        <v>713434</v>
      </c>
      <c r="G40" s="161">
        <v>740595</v>
      </c>
      <c r="H40" s="161">
        <v>760299</v>
      </c>
      <c r="I40" s="162">
        <f>IFERROR(H40/G40-1,"-")</f>
        <v>2.6605634658618982E-2</v>
      </c>
      <c r="J40" s="161">
        <f t="shared" si="10"/>
        <v>19704</v>
      </c>
      <c r="K40" s="162">
        <f>H40/H$8</f>
        <v>0.27782044948287254</v>
      </c>
      <c r="L40" s="81"/>
    </row>
    <row r="41" spans="1:12" s="57" customFormat="1" x14ac:dyDescent="0.25">
      <c r="A41" s="163"/>
      <c r="B41" s="164" t="s">
        <v>112</v>
      </c>
      <c r="C41" s="165">
        <v>0</v>
      </c>
      <c r="D41" s="165">
        <v>8660</v>
      </c>
      <c r="E41" s="165">
        <v>382090</v>
      </c>
      <c r="F41" s="165">
        <v>428359</v>
      </c>
      <c r="G41" s="165">
        <v>458450</v>
      </c>
      <c r="H41" s="165">
        <v>466474</v>
      </c>
      <c r="I41" s="166">
        <f t="shared" ref="I41:I48" si="11">IFERROR(H41/G41-1,"-")</f>
        <v>1.7502453920820171E-2</v>
      </c>
      <c r="J41" s="165">
        <f t="shared" si="10"/>
        <v>8024</v>
      </c>
      <c r="K41" s="166">
        <f t="shared" ref="K41:K48" si="12">H41/H$8</f>
        <v>0.17045401394987167</v>
      </c>
      <c r="L41" s="167"/>
    </row>
    <row r="42" spans="1:12" s="57" customFormat="1" x14ac:dyDescent="0.25">
      <c r="A42" s="163"/>
      <c r="B42" s="164" t="s">
        <v>115</v>
      </c>
      <c r="C42" s="165">
        <v>0</v>
      </c>
      <c r="D42" s="165">
        <v>6327</v>
      </c>
      <c r="E42" s="165">
        <v>19444</v>
      </c>
      <c r="F42" s="165">
        <v>23745</v>
      </c>
      <c r="G42" s="165">
        <v>18611</v>
      </c>
      <c r="H42" s="165">
        <v>24240</v>
      </c>
      <c r="I42" s="166">
        <f t="shared" si="11"/>
        <v>0.30245553704798245</v>
      </c>
      <c r="J42" s="165">
        <f t="shared" si="10"/>
        <v>5629</v>
      </c>
      <c r="K42" s="166">
        <f t="shared" si="12"/>
        <v>8.8575253886495047E-3</v>
      </c>
      <c r="L42" s="167"/>
    </row>
    <row r="43" spans="1:12" x14ac:dyDescent="0.25">
      <c r="A43" s="163"/>
      <c r="B43" s="164" t="s">
        <v>118</v>
      </c>
      <c r="C43" s="165">
        <v>0</v>
      </c>
      <c r="D43" s="165">
        <v>7506</v>
      </c>
      <c r="E43" s="165">
        <v>11078</v>
      </c>
      <c r="F43" s="165">
        <v>16213</v>
      </c>
      <c r="G43" s="165">
        <v>18025</v>
      </c>
      <c r="H43" s="165">
        <v>15950</v>
      </c>
      <c r="I43" s="166">
        <f t="shared" si="11"/>
        <v>-0.11511789181692089</v>
      </c>
      <c r="J43" s="165">
        <f t="shared" si="10"/>
        <v>-2075</v>
      </c>
      <c r="K43" s="166">
        <f t="shared" si="12"/>
        <v>5.8282809384884327E-3</v>
      </c>
      <c r="L43" s="81"/>
    </row>
    <row r="44" spans="1:12" x14ac:dyDescent="0.25">
      <c r="A44" s="163"/>
      <c r="B44" s="164" t="s">
        <v>125</v>
      </c>
      <c r="C44" s="165">
        <v>0</v>
      </c>
      <c r="D44" s="165">
        <v>16579</v>
      </c>
      <c r="E44" s="165">
        <v>34341</v>
      </c>
      <c r="F44" s="165">
        <v>38151</v>
      </c>
      <c r="G44" s="165">
        <v>35459</v>
      </c>
      <c r="H44" s="165">
        <v>31460</v>
      </c>
      <c r="I44" s="166">
        <f t="shared" si="11"/>
        <v>-0.11277813813136295</v>
      </c>
      <c r="J44" s="165">
        <f t="shared" si="10"/>
        <v>-3999</v>
      </c>
      <c r="K44" s="166">
        <f t="shared" si="12"/>
        <v>1.1495781713156494E-2</v>
      </c>
      <c r="L44" s="81"/>
    </row>
    <row r="45" spans="1:12" x14ac:dyDescent="0.25">
      <c r="A45" s="163"/>
      <c r="B45" s="164" t="s">
        <v>121</v>
      </c>
      <c r="C45" s="165">
        <v>0</v>
      </c>
      <c r="D45" s="165">
        <v>9995</v>
      </c>
      <c r="E45" s="165">
        <v>22144</v>
      </c>
      <c r="F45" s="165">
        <v>26526</v>
      </c>
      <c r="G45" s="165">
        <v>22751</v>
      </c>
      <c r="H45" s="165">
        <v>24911</v>
      </c>
      <c r="I45" s="166">
        <f t="shared" si="11"/>
        <v>9.4940881719484782E-2</v>
      </c>
      <c r="J45" s="165">
        <f t="shared" si="10"/>
        <v>2160</v>
      </c>
      <c r="K45" s="166">
        <f t="shared" si="12"/>
        <v>9.1027151384755704E-3</v>
      </c>
      <c r="L45" s="81"/>
    </row>
    <row r="46" spans="1:12" x14ac:dyDescent="0.25">
      <c r="A46" s="163"/>
      <c r="B46" s="164" t="s">
        <v>130</v>
      </c>
      <c r="C46" s="165">
        <v>0</v>
      </c>
      <c r="D46" s="165">
        <v>420</v>
      </c>
      <c r="E46" s="165">
        <v>2257</v>
      </c>
      <c r="F46" s="165">
        <v>4389</v>
      </c>
      <c r="G46" s="165">
        <v>3883</v>
      </c>
      <c r="H46" s="165">
        <v>3158</v>
      </c>
      <c r="I46" s="166">
        <f t="shared" si="11"/>
        <v>-0.18671130569147565</v>
      </c>
      <c r="J46" s="165">
        <f t="shared" si="10"/>
        <v>-725</v>
      </c>
      <c r="K46" s="166">
        <f t="shared" si="12"/>
        <v>1.1539630848743869E-3</v>
      </c>
      <c r="L46" s="81"/>
    </row>
    <row r="47" spans="1:12" x14ac:dyDescent="0.25">
      <c r="A47" s="163" t="s">
        <v>146</v>
      </c>
      <c r="B47" s="164" t="s">
        <v>133</v>
      </c>
      <c r="C47" s="165">
        <v>0</v>
      </c>
      <c r="D47" s="165">
        <v>78</v>
      </c>
      <c r="E47" s="165">
        <v>1267</v>
      </c>
      <c r="F47" s="165">
        <v>2269</v>
      </c>
      <c r="G47" s="165">
        <v>1043</v>
      </c>
      <c r="H47" s="165">
        <v>962</v>
      </c>
      <c r="I47" s="166">
        <f t="shared" si="11"/>
        <v>-7.766059443911788E-2</v>
      </c>
      <c r="J47" s="165">
        <f t="shared" si="10"/>
        <v>-81</v>
      </c>
      <c r="K47" s="166">
        <f t="shared" si="12"/>
        <v>3.5152390362544651E-4</v>
      </c>
      <c r="L47" s="81"/>
    </row>
    <row r="48" spans="1:12" x14ac:dyDescent="0.25">
      <c r="A48" s="163" t="s">
        <v>147</v>
      </c>
      <c r="B48" s="169" t="s">
        <v>147</v>
      </c>
      <c r="C48" s="170">
        <f t="shared" ref="C48" si="13">C40-SUM(C41:C47)</f>
        <v>0</v>
      </c>
      <c r="D48" s="170">
        <f t="shared" ref="D48:H48" si="14">D40-SUM(D41:D47)</f>
        <v>40607</v>
      </c>
      <c r="E48" s="170">
        <f t="shared" si="14"/>
        <v>155839</v>
      </c>
      <c r="F48" s="170">
        <f t="shared" si="14"/>
        <v>173782</v>
      </c>
      <c r="G48" s="170">
        <f t="shared" si="14"/>
        <v>182373</v>
      </c>
      <c r="H48" s="170">
        <f t="shared" si="14"/>
        <v>193144</v>
      </c>
      <c r="I48" s="171">
        <f t="shared" si="11"/>
        <v>5.9060277563016461E-2</v>
      </c>
      <c r="J48" s="170">
        <f>H48-G48</f>
        <v>10771</v>
      </c>
      <c r="K48" s="171">
        <f t="shared" si="12"/>
        <v>7.0576645365731022E-2</v>
      </c>
      <c r="L48" s="81"/>
    </row>
    <row r="49" spans="1:12" s="147" customFormat="1" x14ac:dyDescent="0.25">
      <c r="A49" s="163"/>
      <c r="B49" s="156" t="s">
        <v>48</v>
      </c>
      <c r="C49" s="154"/>
      <c r="D49" s="154"/>
      <c r="E49" s="154"/>
      <c r="F49" s="154"/>
      <c r="G49" s="154"/>
      <c r="H49" s="154"/>
      <c r="I49" s="154"/>
      <c r="J49" s="154"/>
      <c r="K49" s="154"/>
    </row>
    <row r="50" spans="1:12" x14ac:dyDescent="0.25">
      <c r="A50" s="163"/>
      <c r="B50" s="157" t="s">
        <v>70</v>
      </c>
      <c r="C50" s="177">
        <v>0</v>
      </c>
      <c r="D50" s="177">
        <v>5772</v>
      </c>
      <c r="E50" s="177">
        <v>11814</v>
      </c>
      <c r="F50" s="177">
        <v>11134</v>
      </c>
      <c r="G50" s="177">
        <v>12283</v>
      </c>
      <c r="H50" s="177">
        <v>17483</v>
      </c>
      <c r="I50" s="178">
        <f>IFERROR(H50/G50-1,"-")</f>
        <v>0.42334934462264928</v>
      </c>
      <c r="J50" s="177">
        <f>H50-G50</f>
        <v>5200</v>
      </c>
      <c r="K50" s="178">
        <f>H50/H$8</f>
        <v>6.3884536456171323E-3</v>
      </c>
      <c r="L50" s="81"/>
    </row>
    <row r="51" spans="1:12" x14ac:dyDescent="0.25">
      <c r="A51" s="163" t="s">
        <v>98</v>
      </c>
      <c r="B51" s="160" t="s">
        <v>99</v>
      </c>
      <c r="C51" s="161">
        <v>0</v>
      </c>
      <c r="D51" s="161">
        <v>2003</v>
      </c>
      <c r="E51" s="161">
        <v>1369</v>
      </c>
      <c r="F51" s="161">
        <v>2638</v>
      </c>
      <c r="G51" s="161">
        <v>1891</v>
      </c>
      <c r="H51" s="161">
        <v>5317</v>
      </c>
      <c r="I51" s="162">
        <f>IFERROR(H51/G51-1,"-")</f>
        <v>1.8117398202009518</v>
      </c>
      <c r="J51" s="161">
        <f t="shared" ref="J51:J61" si="15">H51-G51</f>
        <v>3426</v>
      </c>
      <c r="K51" s="162">
        <f>H51/H$8</f>
        <v>1.9428821159838869E-3</v>
      </c>
      <c r="L51" s="81"/>
    </row>
    <row r="52" spans="1:12" x14ac:dyDescent="0.25">
      <c r="A52" s="163" t="s">
        <v>105</v>
      </c>
      <c r="B52" s="164" t="s">
        <v>105</v>
      </c>
      <c r="C52" s="165">
        <v>0</v>
      </c>
      <c r="D52" s="165">
        <v>807</v>
      </c>
      <c r="E52" s="165">
        <v>507</v>
      </c>
      <c r="F52" s="165">
        <v>1609</v>
      </c>
      <c r="G52" s="165">
        <v>643</v>
      </c>
      <c r="H52" s="165">
        <v>4564</v>
      </c>
      <c r="I52" s="166">
        <f>IFERROR(H52/G52-1,"-")</f>
        <v>6.0979782270606533</v>
      </c>
      <c r="J52" s="165">
        <f t="shared" si="15"/>
        <v>3921</v>
      </c>
      <c r="K52" s="166">
        <f>H52/H$8</f>
        <v>1.6677287901731164E-3</v>
      </c>
      <c r="L52" s="81"/>
    </row>
    <row r="53" spans="1:12" x14ac:dyDescent="0.25">
      <c r="A53" s="163" t="s">
        <v>102</v>
      </c>
      <c r="B53" s="164" t="s">
        <v>102</v>
      </c>
      <c r="C53" s="165">
        <v>0</v>
      </c>
      <c r="D53" s="165">
        <v>1196</v>
      </c>
      <c r="E53" s="165">
        <v>862</v>
      </c>
      <c r="F53" s="165">
        <v>1029</v>
      </c>
      <c r="G53" s="165">
        <v>1248</v>
      </c>
      <c r="H53" s="165">
        <v>753</v>
      </c>
      <c r="I53" s="166">
        <f>IFERROR(H53/G53-1,"-")</f>
        <v>-0.39663461538461542</v>
      </c>
      <c r="J53" s="165">
        <f t="shared" si="15"/>
        <v>-495</v>
      </c>
      <c r="K53" s="166">
        <f>H53/H$8</f>
        <v>2.7515332581077049E-4</v>
      </c>
      <c r="L53" s="81"/>
    </row>
    <row r="54" spans="1:12" x14ac:dyDescent="0.25">
      <c r="A54" s="163"/>
      <c r="B54" s="160" t="s">
        <v>109</v>
      </c>
      <c r="C54" s="161">
        <v>0</v>
      </c>
      <c r="D54" s="161">
        <v>3769</v>
      </c>
      <c r="E54" s="161">
        <v>10445</v>
      </c>
      <c r="F54" s="161">
        <v>8496</v>
      </c>
      <c r="G54" s="161">
        <v>10392</v>
      </c>
      <c r="H54" s="161">
        <v>12166</v>
      </c>
      <c r="I54" s="162">
        <f>IFERROR(H54/G54-1,"-")</f>
        <v>0.17070823710546579</v>
      </c>
      <c r="J54" s="161">
        <f t="shared" si="15"/>
        <v>1774</v>
      </c>
      <c r="K54" s="162">
        <f>H54/H$8</f>
        <v>4.4455715296332458E-3</v>
      </c>
      <c r="L54" s="81"/>
    </row>
    <row r="55" spans="1:12" s="57" customFormat="1" x14ac:dyDescent="0.25">
      <c r="A55" s="163"/>
      <c r="B55" s="164" t="s">
        <v>112</v>
      </c>
      <c r="C55" s="165">
        <v>0</v>
      </c>
      <c r="D55" s="165">
        <v>173</v>
      </c>
      <c r="E55" s="165">
        <v>5659</v>
      </c>
      <c r="F55" s="165">
        <v>4750</v>
      </c>
      <c r="G55" s="165">
        <v>8026</v>
      </c>
      <c r="H55" s="165">
        <v>5749</v>
      </c>
      <c r="I55" s="166">
        <f t="shared" ref="I55:I62" si="16">IFERROR(H55/G55-1,"-")</f>
        <v>-0.28370296536257167</v>
      </c>
      <c r="J55" s="165">
        <f t="shared" si="15"/>
        <v>-2277</v>
      </c>
      <c r="K55" s="166">
        <f t="shared" ref="K55:K62" si="17">H55/H$8</f>
        <v>2.1007390040984324E-3</v>
      </c>
      <c r="L55" s="167"/>
    </row>
    <row r="56" spans="1:12" s="57" customFormat="1" x14ac:dyDescent="0.25">
      <c r="A56" s="163"/>
      <c r="B56" s="164" t="s">
        <v>115</v>
      </c>
      <c r="C56" s="165">
        <v>0</v>
      </c>
      <c r="D56" s="165">
        <v>1480</v>
      </c>
      <c r="E56" s="165">
        <v>2083</v>
      </c>
      <c r="F56" s="165">
        <v>1387</v>
      </c>
      <c r="G56" s="165">
        <v>767</v>
      </c>
      <c r="H56" s="165">
        <v>2108</v>
      </c>
      <c r="I56" s="166">
        <f t="shared" si="16"/>
        <v>1.7483702737940026</v>
      </c>
      <c r="J56" s="165">
        <f t="shared" si="15"/>
        <v>1341</v>
      </c>
      <c r="K56" s="166">
        <f t="shared" si="17"/>
        <v>7.7028314848486619E-4</v>
      </c>
      <c r="L56" s="167"/>
    </row>
    <row r="57" spans="1:12" x14ac:dyDescent="0.25">
      <c r="A57" s="163"/>
      <c r="B57" s="164" t="s">
        <v>118</v>
      </c>
      <c r="C57" s="165">
        <v>0</v>
      </c>
      <c r="D57" s="165">
        <v>367</v>
      </c>
      <c r="E57" s="165">
        <v>313</v>
      </c>
      <c r="F57" s="165">
        <v>385</v>
      </c>
      <c r="G57" s="165">
        <v>222</v>
      </c>
      <c r="H57" s="165">
        <v>398</v>
      </c>
      <c r="I57" s="166">
        <f t="shared" si="16"/>
        <v>0.79279279279279269</v>
      </c>
      <c r="J57" s="165">
        <f t="shared" si="15"/>
        <v>176</v>
      </c>
      <c r="K57" s="166">
        <f t="shared" si="17"/>
        <v>1.4543296636478973E-4</v>
      </c>
      <c r="L57" s="81"/>
    </row>
    <row r="58" spans="1:12" x14ac:dyDescent="0.25">
      <c r="A58" s="163"/>
      <c r="B58" s="164" t="s">
        <v>125</v>
      </c>
      <c r="C58" s="165">
        <v>0</v>
      </c>
      <c r="D58" s="165">
        <v>96</v>
      </c>
      <c r="E58" s="165">
        <v>154</v>
      </c>
      <c r="F58" s="165">
        <v>117</v>
      </c>
      <c r="G58" s="165">
        <v>40</v>
      </c>
      <c r="H58" s="165">
        <v>459</v>
      </c>
      <c r="I58" s="166">
        <f t="shared" si="16"/>
        <v>10.475</v>
      </c>
      <c r="J58" s="165">
        <f t="shared" si="15"/>
        <v>419</v>
      </c>
      <c r="K58" s="166">
        <f t="shared" si="17"/>
        <v>1.6772294362170473E-4</v>
      </c>
      <c r="L58" s="81"/>
    </row>
    <row r="59" spans="1:12" x14ac:dyDescent="0.25">
      <c r="A59" s="163"/>
      <c r="B59" s="164" t="s">
        <v>121</v>
      </c>
      <c r="C59" s="165">
        <v>0</v>
      </c>
      <c r="D59" s="165">
        <v>96</v>
      </c>
      <c r="E59" s="165">
        <v>105</v>
      </c>
      <c r="F59" s="165">
        <v>133</v>
      </c>
      <c r="G59" s="165">
        <v>19</v>
      </c>
      <c r="H59" s="165">
        <v>289</v>
      </c>
      <c r="I59" s="166">
        <f t="shared" si="16"/>
        <v>14.210526315789474</v>
      </c>
      <c r="J59" s="165">
        <f t="shared" si="15"/>
        <v>270</v>
      </c>
      <c r="K59" s="166">
        <f t="shared" si="17"/>
        <v>1.056033348729252E-4</v>
      </c>
      <c r="L59" s="81"/>
    </row>
    <row r="60" spans="1:12" x14ac:dyDescent="0.25">
      <c r="A60" s="163"/>
      <c r="B60" s="164" t="s">
        <v>130</v>
      </c>
      <c r="C60" s="165">
        <v>0</v>
      </c>
      <c r="D60" s="165">
        <v>26</v>
      </c>
      <c r="E60" s="165">
        <v>0</v>
      </c>
      <c r="F60" s="165">
        <v>24</v>
      </c>
      <c r="G60" s="165">
        <v>0</v>
      </c>
      <c r="H60" s="165">
        <v>2</v>
      </c>
      <c r="I60" s="166" t="str">
        <f t="shared" si="16"/>
        <v>-</v>
      </c>
      <c r="J60" s="165">
        <f t="shared" si="15"/>
        <v>2</v>
      </c>
      <c r="K60" s="166">
        <f t="shared" si="17"/>
        <v>7.3081892645622984E-7</v>
      </c>
      <c r="L60" s="81"/>
    </row>
    <row r="61" spans="1:12" x14ac:dyDescent="0.25">
      <c r="A61" s="163" t="s">
        <v>146</v>
      </c>
      <c r="B61" s="164" t="s">
        <v>133</v>
      </c>
      <c r="C61" s="165">
        <v>0</v>
      </c>
      <c r="D61" s="165">
        <v>0</v>
      </c>
      <c r="E61" s="165">
        <v>1</v>
      </c>
      <c r="F61" s="165">
        <v>5</v>
      </c>
      <c r="G61" s="165">
        <v>1</v>
      </c>
      <c r="H61" s="165">
        <v>97</v>
      </c>
      <c r="I61" s="166">
        <f t="shared" si="16"/>
        <v>96</v>
      </c>
      <c r="J61" s="165">
        <f t="shared" si="15"/>
        <v>96</v>
      </c>
      <c r="K61" s="166">
        <f t="shared" si="17"/>
        <v>3.5444717933127147E-5</v>
      </c>
      <c r="L61" s="81"/>
    </row>
    <row r="62" spans="1:12" x14ac:dyDescent="0.25">
      <c r="A62" s="163" t="s">
        <v>147</v>
      </c>
      <c r="B62" s="169" t="s">
        <v>147</v>
      </c>
      <c r="C62" s="170">
        <f t="shared" ref="C62" si="18">C54-SUM(C55:C61)</f>
        <v>0</v>
      </c>
      <c r="D62" s="170">
        <f t="shared" ref="D62:H62" si="19">D54-SUM(D55:D61)</f>
        <v>1531</v>
      </c>
      <c r="E62" s="170">
        <f t="shared" si="19"/>
        <v>2130</v>
      </c>
      <c r="F62" s="170">
        <f t="shared" si="19"/>
        <v>1695</v>
      </c>
      <c r="G62" s="170">
        <f t="shared" si="19"/>
        <v>1317</v>
      </c>
      <c r="H62" s="170">
        <f t="shared" si="19"/>
        <v>3064</v>
      </c>
      <c r="I62" s="171">
        <f t="shared" si="16"/>
        <v>1.3264996203492787</v>
      </c>
      <c r="J62" s="170">
        <f>H62-G62</f>
        <v>1747</v>
      </c>
      <c r="K62" s="171">
        <f t="shared" si="17"/>
        <v>1.1196145953309439E-3</v>
      </c>
      <c r="L62" s="81"/>
    </row>
    <row r="63" spans="1:12" s="147" customFormat="1" x14ac:dyDescent="0.25">
      <c r="A63" s="163"/>
      <c r="B63" s="156" t="s">
        <v>49</v>
      </c>
      <c r="C63" s="154"/>
      <c r="D63" s="154"/>
      <c r="E63" s="154"/>
      <c r="F63" s="154"/>
      <c r="G63" s="154"/>
      <c r="H63" s="154"/>
      <c r="I63" s="154"/>
      <c r="J63" s="154"/>
      <c r="K63" s="154"/>
    </row>
    <row r="64" spans="1:12" x14ac:dyDescent="0.25">
      <c r="A64" s="163"/>
      <c r="B64" s="157" t="s">
        <v>70</v>
      </c>
      <c r="C64" s="177">
        <v>0</v>
      </c>
      <c r="D64" s="177">
        <v>14068</v>
      </c>
      <c r="E64" s="177">
        <v>50889</v>
      </c>
      <c r="F64" s="177">
        <v>61354</v>
      </c>
      <c r="G64" s="177">
        <v>78527</v>
      </c>
      <c r="H64" s="177">
        <v>92544</v>
      </c>
      <c r="I64" s="178">
        <f>IFERROR(H64/G64-1,"-")</f>
        <v>0.17849911495409221</v>
      </c>
      <c r="J64" s="177">
        <f>H64-G64</f>
        <v>14017</v>
      </c>
      <c r="K64" s="178">
        <f>H64/H$8</f>
        <v>3.3816453364982665E-2</v>
      </c>
      <c r="L64" s="81"/>
    </row>
    <row r="65" spans="1:12" x14ac:dyDescent="0.25">
      <c r="A65" s="163" t="s">
        <v>98</v>
      </c>
      <c r="B65" s="160" t="s">
        <v>99</v>
      </c>
      <c r="C65" s="161">
        <v>0</v>
      </c>
      <c r="D65" s="161">
        <v>3816</v>
      </c>
      <c r="E65" s="161">
        <v>6475</v>
      </c>
      <c r="F65" s="161">
        <v>23762</v>
      </c>
      <c r="G65" s="161">
        <v>29035</v>
      </c>
      <c r="H65" s="161">
        <v>23626</v>
      </c>
      <c r="I65" s="162">
        <f>IFERROR(H65/G65-1,"-")</f>
        <v>-0.18629240571723782</v>
      </c>
      <c r="J65" s="161">
        <f t="shared" ref="J65:J75" si="20">H65-G65</f>
        <v>-5409</v>
      </c>
      <c r="K65" s="162">
        <f>H65/H$8</f>
        <v>8.6331639782274427E-3</v>
      </c>
      <c r="L65" s="81"/>
    </row>
    <row r="66" spans="1:12" x14ac:dyDescent="0.25">
      <c r="A66" s="163" t="s">
        <v>105</v>
      </c>
      <c r="B66" s="164" t="s">
        <v>105</v>
      </c>
      <c r="C66" s="165">
        <v>0</v>
      </c>
      <c r="D66" s="165">
        <v>2560</v>
      </c>
      <c r="E66" s="165">
        <v>5637</v>
      </c>
      <c r="F66" s="165">
        <v>15700</v>
      </c>
      <c r="G66" s="165">
        <v>20066</v>
      </c>
      <c r="H66" s="165">
        <v>6232</v>
      </c>
      <c r="I66" s="166">
        <f>IFERROR(H66/G66-1,"-")</f>
        <v>-0.68942489783713745</v>
      </c>
      <c r="J66" s="165">
        <f t="shared" si="20"/>
        <v>-13834</v>
      </c>
      <c r="K66" s="166">
        <f>H66/H$8</f>
        <v>2.2772317748376118E-3</v>
      </c>
      <c r="L66" s="81"/>
    </row>
    <row r="67" spans="1:12" x14ac:dyDescent="0.25">
      <c r="A67" s="163" t="s">
        <v>102</v>
      </c>
      <c r="B67" s="164" t="s">
        <v>102</v>
      </c>
      <c r="C67" s="165">
        <v>0</v>
      </c>
      <c r="D67" s="165">
        <v>1256</v>
      </c>
      <c r="E67" s="165">
        <v>838</v>
      </c>
      <c r="F67" s="165">
        <v>8062</v>
      </c>
      <c r="G67" s="165">
        <v>8969</v>
      </c>
      <c r="H67" s="165">
        <v>17394</v>
      </c>
      <c r="I67" s="166">
        <f>IFERROR(H67/G67-1,"-")</f>
        <v>0.93934663842122879</v>
      </c>
      <c r="J67" s="165">
        <f t="shared" si="20"/>
        <v>8425</v>
      </c>
      <c r="K67" s="166">
        <f>H67/H$8</f>
        <v>6.3559322033898309E-3</v>
      </c>
      <c r="L67" s="81"/>
    </row>
    <row r="68" spans="1:12" x14ac:dyDescent="0.25">
      <c r="A68" s="163"/>
      <c r="B68" s="160" t="s">
        <v>109</v>
      </c>
      <c r="C68" s="161">
        <v>0</v>
      </c>
      <c r="D68" s="161">
        <v>10252</v>
      </c>
      <c r="E68" s="161">
        <v>44414</v>
      </c>
      <c r="F68" s="161">
        <v>37592</v>
      </c>
      <c r="G68" s="161">
        <v>49492</v>
      </c>
      <c r="H68" s="161">
        <v>68918</v>
      </c>
      <c r="I68" s="162">
        <f>IFERROR(H68/G68-1,"-")</f>
        <v>0.39250788006142412</v>
      </c>
      <c r="J68" s="161">
        <f t="shared" si="20"/>
        <v>19426</v>
      </c>
      <c r="K68" s="162">
        <f>H68/H$8</f>
        <v>2.5183289386755223E-2</v>
      </c>
      <c r="L68" s="81"/>
    </row>
    <row r="69" spans="1:12" s="57" customFormat="1" x14ac:dyDescent="0.25">
      <c r="A69" s="163"/>
      <c r="B69" s="164" t="s">
        <v>112</v>
      </c>
      <c r="C69" s="165">
        <v>0</v>
      </c>
      <c r="D69" s="165">
        <v>2152</v>
      </c>
      <c r="E69" s="165">
        <v>19904</v>
      </c>
      <c r="F69" s="165">
        <v>10307</v>
      </c>
      <c r="G69" s="165">
        <v>27425</v>
      </c>
      <c r="H69" s="165">
        <v>39632</v>
      </c>
      <c r="I69" s="166">
        <f t="shared" ref="I69:I76" si="21">IFERROR(H69/G69-1,"-")</f>
        <v>0.44510483135824974</v>
      </c>
      <c r="J69" s="165">
        <f t="shared" si="20"/>
        <v>12207</v>
      </c>
      <c r="K69" s="166">
        <f t="shared" ref="K69:K76" si="22">H69/H$8</f>
        <v>1.448190784665665E-2</v>
      </c>
      <c r="L69" s="167"/>
    </row>
    <row r="70" spans="1:12" s="57" customFormat="1" x14ac:dyDescent="0.25">
      <c r="A70" s="163"/>
      <c r="B70" s="164" t="s">
        <v>115</v>
      </c>
      <c r="C70" s="165">
        <v>0</v>
      </c>
      <c r="D70" s="165">
        <v>1408</v>
      </c>
      <c r="E70" s="165">
        <v>3591</v>
      </c>
      <c r="F70" s="165">
        <v>10666</v>
      </c>
      <c r="G70" s="165">
        <v>2892</v>
      </c>
      <c r="H70" s="165">
        <v>4572</v>
      </c>
      <c r="I70" s="166">
        <f t="shared" si="21"/>
        <v>0.58091286307053935</v>
      </c>
      <c r="J70" s="165">
        <f t="shared" si="20"/>
        <v>1680</v>
      </c>
      <c r="K70" s="166">
        <f t="shared" si="22"/>
        <v>1.6706520658789413E-3</v>
      </c>
      <c r="L70" s="167"/>
    </row>
    <row r="71" spans="1:12" x14ac:dyDescent="0.25">
      <c r="A71" s="163"/>
      <c r="B71" s="164" t="s">
        <v>118</v>
      </c>
      <c r="C71" s="165">
        <v>0</v>
      </c>
      <c r="D71" s="165">
        <v>1301</v>
      </c>
      <c r="E71" s="165">
        <v>4140</v>
      </c>
      <c r="F71" s="165">
        <v>2887</v>
      </c>
      <c r="G71" s="165">
        <v>2445</v>
      </c>
      <c r="H71" s="165">
        <v>5101</v>
      </c>
      <c r="I71" s="166">
        <f t="shared" si="21"/>
        <v>1.0862985685071576</v>
      </c>
      <c r="J71" s="165">
        <f t="shared" si="20"/>
        <v>2656</v>
      </c>
      <c r="K71" s="166">
        <f t="shared" si="22"/>
        <v>1.8639536719266142E-3</v>
      </c>
      <c r="L71" s="81"/>
    </row>
    <row r="72" spans="1:12" x14ac:dyDescent="0.25">
      <c r="A72" s="163"/>
      <c r="B72" s="164" t="s">
        <v>125</v>
      </c>
      <c r="C72" s="165">
        <v>0</v>
      </c>
      <c r="D72" s="165">
        <v>1561</v>
      </c>
      <c r="E72" s="165">
        <v>1317</v>
      </c>
      <c r="F72" s="165">
        <v>854</v>
      </c>
      <c r="G72" s="165">
        <v>2058</v>
      </c>
      <c r="H72" s="165">
        <v>2195</v>
      </c>
      <c r="I72" s="166">
        <f t="shared" si="21"/>
        <v>6.6569484936831902E-2</v>
      </c>
      <c r="J72" s="165">
        <f t="shared" si="20"/>
        <v>137</v>
      </c>
      <c r="K72" s="166">
        <f t="shared" si="22"/>
        <v>8.0207377178571221E-4</v>
      </c>
      <c r="L72" s="81"/>
    </row>
    <row r="73" spans="1:12" x14ac:dyDescent="0.25">
      <c r="A73" s="163"/>
      <c r="B73" s="164" t="s">
        <v>121</v>
      </c>
      <c r="C73" s="165">
        <v>0</v>
      </c>
      <c r="D73" s="165">
        <v>777</v>
      </c>
      <c r="E73" s="165">
        <v>727</v>
      </c>
      <c r="F73" s="165">
        <v>781</v>
      </c>
      <c r="G73" s="165">
        <v>753</v>
      </c>
      <c r="H73" s="165">
        <v>1239</v>
      </c>
      <c r="I73" s="166">
        <f t="shared" si="21"/>
        <v>0.64541832669322718</v>
      </c>
      <c r="J73" s="165">
        <f t="shared" si="20"/>
        <v>486</v>
      </c>
      <c r="K73" s="166">
        <f t="shared" si="22"/>
        <v>4.5274232493963435E-4</v>
      </c>
      <c r="L73" s="81"/>
    </row>
    <row r="74" spans="1:12" x14ac:dyDescent="0.25">
      <c r="A74" s="163"/>
      <c r="B74" s="164" t="s">
        <v>130</v>
      </c>
      <c r="C74" s="165">
        <v>0</v>
      </c>
      <c r="D74" s="165">
        <v>0</v>
      </c>
      <c r="E74" s="165">
        <v>172</v>
      </c>
      <c r="F74" s="165">
        <v>0</v>
      </c>
      <c r="G74" s="165">
        <v>4</v>
      </c>
      <c r="H74" s="165">
        <v>74</v>
      </c>
      <c r="I74" s="166">
        <f t="shared" si="21"/>
        <v>17.5</v>
      </c>
      <c r="J74" s="165">
        <f t="shared" si="20"/>
        <v>70</v>
      </c>
      <c r="K74" s="166">
        <f t="shared" si="22"/>
        <v>2.7040300278880501E-5</v>
      </c>
      <c r="L74" s="81"/>
    </row>
    <row r="75" spans="1:12" x14ac:dyDescent="0.25">
      <c r="A75" s="163" t="s">
        <v>146</v>
      </c>
      <c r="B75" s="164" t="s">
        <v>133</v>
      </c>
      <c r="C75" s="165">
        <v>0</v>
      </c>
      <c r="D75" s="165">
        <v>0</v>
      </c>
      <c r="E75" s="165">
        <v>435</v>
      </c>
      <c r="F75" s="165">
        <v>8</v>
      </c>
      <c r="G75" s="165">
        <v>77</v>
      </c>
      <c r="H75" s="165">
        <v>411</v>
      </c>
      <c r="I75" s="166">
        <f t="shared" si="21"/>
        <v>4.337662337662338</v>
      </c>
      <c r="J75" s="165">
        <f t="shared" si="20"/>
        <v>334</v>
      </c>
      <c r="K75" s="166">
        <f t="shared" si="22"/>
        <v>1.5018328938675522E-4</v>
      </c>
      <c r="L75" s="81"/>
    </row>
    <row r="76" spans="1:12" x14ac:dyDescent="0.25">
      <c r="A76" s="163" t="s">
        <v>147</v>
      </c>
      <c r="B76" s="169" t="s">
        <v>147</v>
      </c>
      <c r="C76" s="170">
        <f t="shared" ref="C76" si="23">C68-SUM(C69:C75)</f>
        <v>0</v>
      </c>
      <c r="D76" s="170">
        <f t="shared" ref="D76:H76" si="24">D68-SUM(D69:D75)</f>
        <v>3053</v>
      </c>
      <c r="E76" s="170">
        <f t="shared" si="24"/>
        <v>14128</v>
      </c>
      <c r="F76" s="170">
        <f t="shared" si="24"/>
        <v>12089</v>
      </c>
      <c r="G76" s="170">
        <f t="shared" si="24"/>
        <v>13838</v>
      </c>
      <c r="H76" s="170">
        <f t="shared" si="24"/>
        <v>15694</v>
      </c>
      <c r="I76" s="171">
        <f t="shared" si="21"/>
        <v>0.13412342824107526</v>
      </c>
      <c r="J76" s="170">
        <f>H76-G76</f>
        <v>1856</v>
      </c>
      <c r="K76" s="171">
        <f t="shared" si="22"/>
        <v>5.7347361159020352E-3</v>
      </c>
      <c r="L76" s="81"/>
    </row>
    <row r="77" spans="1:12" s="147" customFormat="1" x14ac:dyDescent="0.25">
      <c r="A77" s="163"/>
      <c r="B77" s="156" t="s">
        <v>50</v>
      </c>
      <c r="C77" s="154"/>
      <c r="D77" s="154"/>
      <c r="E77" s="154"/>
      <c r="F77" s="154"/>
      <c r="G77" s="154"/>
      <c r="H77" s="154"/>
      <c r="I77" s="154"/>
      <c r="J77" s="154"/>
      <c r="K77" s="154"/>
    </row>
    <row r="78" spans="1:12" x14ac:dyDescent="0.25">
      <c r="A78" s="163"/>
      <c r="B78" s="157" t="s">
        <v>70</v>
      </c>
      <c r="C78" s="177">
        <v>0</v>
      </c>
      <c r="D78" s="177">
        <v>110623</v>
      </c>
      <c r="E78" s="177">
        <v>364068</v>
      </c>
      <c r="F78" s="177">
        <v>393768</v>
      </c>
      <c r="G78" s="177">
        <v>460449</v>
      </c>
      <c r="H78" s="177">
        <v>430081</v>
      </c>
      <c r="I78" s="178">
        <f>IFERROR(H78/G78-1,"-")</f>
        <v>-6.5953015426246986E-2</v>
      </c>
      <c r="J78" s="177">
        <f>H78-G78</f>
        <v>-30368</v>
      </c>
      <c r="K78" s="178">
        <f>H78/H$8</f>
        <v>0.1571556673546109</v>
      </c>
      <c r="L78" s="81"/>
    </row>
    <row r="79" spans="1:12" x14ac:dyDescent="0.25">
      <c r="A79" s="163" t="s">
        <v>98</v>
      </c>
      <c r="B79" s="160" t="s">
        <v>99</v>
      </c>
      <c r="C79" s="161">
        <v>0</v>
      </c>
      <c r="D79" s="161">
        <v>57962</v>
      </c>
      <c r="E79" s="161">
        <v>189872</v>
      </c>
      <c r="F79" s="161">
        <v>185864</v>
      </c>
      <c r="G79" s="161">
        <v>186304</v>
      </c>
      <c r="H79" s="161">
        <v>183684</v>
      </c>
      <c r="I79" s="162">
        <f>IFERROR(H79/G79-1,"-")</f>
        <v>-1.4063036757128167E-2</v>
      </c>
      <c r="J79" s="161">
        <f t="shared" ref="J79:J89" si="25">H79-G79</f>
        <v>-2620</v>
      </c>
      <c r="K79" s="162">
        <f>H79/H$8</f>
        <v>6.7119871843593054E-2</v>
      </c>
      <c r="L79" s="81"/>
    </row>
    <row r="80" spans="1:12" x14ac:dyDescent="0.25">
      <c r="A80" s="163" t="s">
        <v>105</v>
      </c>
      <c r="B80" s="164" t="s">
        <v>105</v>
      </c>
      <c r="C80" s="165">
        <v>0</v>
      </c>
      <c r="D80" s="165">
        <v>15745</v>
      </c>
      <c r="E80" s="165">
        <v>23487</v>
      </c>
      <c r="F80" s="165">
        <v>34827</v>
      </c>
      <c r="G80" s="165">
        <v>40959</v>
      </c>
      <c r="H80" s="165">
        <v>23728</v>
      </c>
      <c r="I80" s="166">
        <f>IFERROR(H80/G80-1,"-")</f>
        <v>-0.42068898166459145</v>
      </c>
      <c r="J80" s="165">
        <f t="shared" si="25"/>
        <v>-17231</v>
      </c>
      <c r="K80" s="166">
        <f>H80/H$8</f>
        <v>8.6704357434767097E-3</v>
      </c>
      <c r="L80" s="81"/>
    </row>
    <row r="81" spans="1:12" x14ac:dyDescent="0.25">
      <c r="A81" s="163" t="s">
        <v>102</v>
      </c>
      <c r="B81" s="164" t="s">
        <v>102</v>
      </c>
      <c r="C81" s="165">
        <v>0</v>
      </c>
      <c r="D81" s="165">
        <v>42217</v>
      </c>
      <c r="E81" s="165">
        <v>166385</v>
      </c>
      <c r="F81" s="165">
        <v>151037</v>
      </c>
      <c r="G81" s="165">
        <v>145345</v>
      </c>
      <c r="H81" s="165">
        <v>159956</v>
      </c>
      <c r="I81" s="166">
        <f>IFERROR(H81/G81-1,"-")</f>
        <v>0.10052633389521493</v>
      </c>
      <c r="J81" s="165">
        <f t="shared" si="25"/>
        <v>14611</v>
      </c>
      <c r="K81" s="166">
        <f>H81/H$8</f>
        <v>5.8449436100116346E-2</v>
      </c>
      <c r="L81" s="81"/>
    </row>
    <row r="82" spans="1:12" x14ac:dyDescent="0.25">
      <c r="A82" s="163"/>
      <c r="B82" s="160" t="s">
        <v>109</v>
      </c>
      <c r="C82" s="161">
        <v>0</v>
      </c>
      <c r="D82" s="161">
        <v>52661</v>
      </c>
      <c r="E82" s="161">
        <v>174196</v>
      </c>
      <c r="F82" s="161">
        <v>207904</v>
      </c>
      <c r="G82" s="161">
        <v>274145</v>
      </c>
      <c r="H82" s="161">
        <v>246397</v>
      </c>
      <c r="I82" s="162">
        <f>IFERROR(H82/G82-1,"-")</f>
        <v>-0.10121650951138994</v>
      </c>
      <c r="J82" s="161">
        <f t="shared" si="25"/>
        <v>-27748</v>
      </c>
      <c r="K82" s="162">
        <f>H82/H$8</f>
        <v>9.0035795511017827E-2</v>
      </c>
      <c r="L82" s="81"/>
    </row>
    <row r="83" spans="1:12" s="57" customFormat="1" x14ac:dyDescent="0.25">
      <c r="A83" s="163"/>
      <c r="B83" s="164" t="s">
        <v>112</v>
      </c>
      <c r="C83" s="165">
        <v>0</v>
      </c>
      <c r="D83" s="165">
        <v>2217</v>
      </c>
      <c r="E83" s="165">
        <v>39494</v>
      </c>
      <c r="F83" s="165">
        <v>44671</v>
      </c>
      <c r="G83" s="165">
        <v>59447</v>
      </c>
      <c r="H83" s="165">
        <v>52733</v>
      </c>
      <c r="I83" s="166">
        <f t="shared" ref="I83:I90" si="26">IFERROR(H83/G83-1,"-")</f>
        <v>-0.11294093898766966</v>
      </c>
      <c r="J83" s="165">
        <f t="shared" si="25"/>
        <v>-6714</v>
      </c>
      <c r="K83" s="166">
        <f t="shared" ref="K83:K90" si="27">H83/H$8</f>
        <v>1.9269137224408182E-2</v>
      </c>
      <c r="L83" s="167"/>
    </row>
    <row r="84" spans="1:12" s="57" customFormat="1" x14ac:dyDescent="0.25">
      <c r="A84" s="163"/>
      <c r="B84" s="164" t="s">
        <v>115</v>
      </c>
      <c r="C84" s="165">
        <v>0</v>
      </c>
      <c r="D84" s="165">
        <v>18070</v>
      </c>
      <c r="E84" s="165">
        <v>67149</v>
      </c>
      <c r="F84" s="165">
        <v>68057</v>
      </c>
      <c r="G84" s="165">
        <v>81325</v>
      </c>
      <c r="H84" s="165">
        <v>77681</v>
      </c>
      <c r="I84" s="166">
        <f t="shared" si="26"/>
        <v>-4.4807869658776478E-2</v>
      </c>
      <c r="J84" s="165">
        <f t="shared" si="25"/>
        <v>-3644</v>
      </c>
      <c r="K84" s="166">
        <f t="shared" si="27"/>
        <v>2.8385372513023192E-2</v>
      </c>
      <c r="L84" s="167"/>
    </row>
    <row r="85" spans="1:12" x14ac:dyDescent="0.25">
      <c r="A85" s="163"/>
      <c r="B85" s="164" t="s">
        <v>118</v>
      </c>
      <c r="C85" s="165">
        <v>0</v>
      </c>
      <c r="D85" s="165">
        <v>6244</v>
      </c>
      <c r="E85" s="165">
        <v>10927</v>
      </c>
      <c r="F85" s="165">
        <v>16599</v>
      </c>
      <c r="G85" s="165">
        <v>31108</v>
      </c>
      <c r="H85" s="165">
        <v>22991</v>
      </c>
      <c r="I85" s="166">
        <f t="shared" si="26"/>
        <v>-0.26092966439501097</v>
      </c>
      <c r="J85" s="165">
        <f t="shared" si="25"/>
        <v>-8117</v>
      </c>
      <c r="K85" s="166">
        <f t="shared" si="27"/>
        <v>8.4011289690775898E-3</v>
      </c>
      <c r="L85" s="81"/>
    </row>
    <row r="86" spans="1:12" x14ac:dyDescent="0.25">
      <c r="A86" s="163"/>
      <c r="B86" s="164" t="s">
        <v>125</v>
      </c>
      <c r="C86" s="165">
        <v>0</v>
      </c>
      <c r="D86" s="165">
        <v>1221</v>
      </c>
      <c r="E86" s="165">
        <v>3989</v>
      </c>
      <c r="F86" s="165">
        <v>6037</v>
      </c>
      <c r="G86" s="165">
        <v>10443</v>
      </c>
      <c r="H86" s="165">
        <v>5971</v>
      </c>
      <c r="I86" s="166">
        <f t="shared" si="26"/>
        <v>-0.42822943598582786</v>
      </c>
      <c r="J86" s="165">
        <f t="shared" si="25"/>
        <v>-4472</v>
      </c>
      <c r="K86" s="166">
        <f t="shared" si="27"/>
        <v>2.1818599049350739E-3</v>
      </c>
      <c r="L86" s="81"/>
    </row>
    <row r="87" spans="1:12" x14ac:dyDescent="0.25">
      <c r="A87" s="163"/>
      <c r="B87" s="164" t="s">
        <v>121</v>
      </c>
      <c r="C87" s="165">
        <v>0</v>
      </c>
      <c r="D87" s="165">
        <v>1692</v>
      </c>
      <c r="E87" s="165">
        <v>2174</v>
      </c>
      <c r="F87" s="165">
        <v>2900</v>
      </c>
      <c r="G87" s="165">
        <v>4781</v>
      </c>
      <c r="H87" s="165">
        <v>4208</v>
      </c>
      <c r="I87" s="166">
        <f t="shared" si="26"/>
        <v>-0.11984940389039955</v>
      </c>
      <c r="J87" s="165">
        <f t="shared" si="25"/>
        <v>-573</v>
      </c>
      <c r="K87" s="166">
        <f t="shared" si="27"/>
        <v>1.5376430212639075E-3</v>
      </c>
      <c r="L87" s="81"/>
    </row>
    <row r="88" spans="1:12" x14ac:dyDescent="0.25">
      <c r="A88" s="163"/>
      <c r="B88" s="164" t="s">
        <v>130</v>
      </c>
      <c r="C88" s="165">
        <v>0</v>
      </c>
      <c r="D88" s="165">
        <v>167</v>
      </c>
      <c r="E88" s="165">
        <v>669</v>
      </c>
      <c r="F88" s="165">
        <v>1137</v>
      </c>
      <c r="G88" s="165">
        <v>942</v>
      </c>
      <c r="H88" s="165">
        <v>851</v>
      </c>
      <c r="I88" s="166">
        <f t="shared" si="26"/>
        <v>-9.6602972399150722E-2</v>
      </c>
      <c r="J88" s="165">
        <f t="shared" si="25"/>
        <v>-91</v>
      </c>
      <c r="K88" s="166">
        <f t="shared" si="27"/>
        <v>3.1096345320712578E-4</v>
      </c>
      <c r="L88" s="81"/>
    </row>
    <row r="89" spans="1:12" x14ac:dyDescent="0.25">
      <c r="A89" s="163" t="s">
        <v>146</v>
      </c>
      <c r="B89" s="164" t="s">
        <v>133</v>
      </c>
      <c r="C89" s="165">
        <v>0</v>
      </c>
      <c r="D89" s="165">
        <v>959</v>
      </c>
      <c r="E89" s="165">
        <v>476</v>
      </c>
      <c r="F89" s="165">
        <v>1174</v>
      </c>
      <c r="G89" s="165">
        <v>774</v>
      </c>
      <c r="H89" s="165">
        <v>405</v>
      </c>
      <c r="I89" s="166">
        <f t="shared" si="26"/>
        <v>-0.47674418604651159</v>
      </c>
      <c r="J89" s="165">
        <f t="shared" si="25"/>
        <v>-369</v>
      </c>
      <c r="K89" s="166">
        <f t="shared" si="27"/>
        <v>1.4799083260738654E-4</v>
      </c>
      <c r="L89" s="81"/>
    </row>
    <row r="90" spans="1:12" x14ac:dyDescent="0.25">
      <c r="A90" s="163" t="s">
        <v>147</v>
      </c>
      <c r="B90" s="169" t="s">
        <v>147</v>
      </c>
      <c r="C90" s="170">
        <f t="shared" ref="C90" si="28">C82-SUM(C83:C89)</f>
        <v>0</v>
      </c>
      <c r="D90" s="170">
        <f t="shared" ref="D90:H90" si="29">D82-SUM(D83:D89)</f>
        <v>22091</v>
      </c>
      <c r="E90" s="170">
        <f t="shared" si="29"/>
        <v>49318</v>
      </c>
      <c r="F90" s="170">
        <f t="shared" si="29"/>
        <v>67329</v>
      </c>
      <c r="G90" s="170">
        <f t="shared" si="29"/>
        <v>85325</v>
      </c>
      <c r="H90" s="170">
        <f t="shared" si="29"/>
        <v>81557</v>
      </c>
      <c r="I90" s="171">
        <f t="shared" si="26"/>
        <v>-4.4160562554937055E-2</v>
      </c>
      <c r="J90" s="170">
        <f>H90-G90</f>
        <v>-3768</v>
      </c>
      <c r="K90" s="171">
        <f t="shared" si="27"/>
        <v>2.9801699592495366E-2</v>
      </c>
      <c r="L90" s="81"/>
    </row>
    <row r="91" spans="1:12" s="147" customFormat="1" x14ac:dyDescent="0.25">
      <c r="A91" s="163"/>
      <c r="B91" s="156" t="s">
        <v>51</v>
      </c>
      <c r="C91" s="154"/>
      <c r="D91" s="154"/>
      <c r="E91" s="154"/>
      <c r="F91" s="154"/>
      <c r="G91" s="154"/>
      <c r="H91" s="154"/>
      <c r="I91" s="154"/>
      <c r="J91" s="154"/>
      <c r="K91" s="154"/>
    </row>
    <row r="92" spans="1:12" x14ac:dyDescent="0.25">
      <c r="A92" s="163"/>
      <c r="B92" s="157" t="s">
        <v>70</v>
      </c>
      <c r="C92" s="177">
        <v>0</v>
      </c>
      <c r="D92" s="177">
        <v>5487</v>
      </c>
      <c r="E92" s="177">
        <v>11277</v>
      </c>
      <c r="F92" s="177">
        <v>10373</v>
      </c>
      <c r="G92" s="177">
        <v>10115</v>
      </c>
      <c r="H92" s="177">
        <v>11658</v>
      </c>
      <c r="I92" s="178">
        <f>IFERROR(H92/G92-1,"-")</f>
        <v>0.15254572417202183</v>
      </c>
      <c r="J92" s="177">
        <f>H92-G92</f>
        <v>1543</v>
      </c>
      <c r="K92" s="178">
        <f>H92/H$8</f>
        <v>4.2599435223133631E-3</v>
      </c>
      <c r="L92" s="81"/>
    </row>
    <row r="93" spans="1:12" x14ac:dyDescent="0.25">
      <c r="A93" s="163" t="s">
        <v>98</v>
      </c>
      <c r="B93" s="160" t="s">
        <v>99</v>
      </c>
      <c r="C93" s="161">
        <v>0</v>
      </c>
      <c r="D93" s="161">
        <v>3249</v>
      </c>
      <c r="E93" s="161">
        <v>7954</v>
      </c>
      <c r="F93" s="161">
        <v>6546</v>
      </c>
      <c r="G93" s="161">
        <v>6147</v>
      </c>
      <c r="H93" s="161">
        <v>7419</v>
      </c>
      <c r="I93" s="162">
        <f>IFERROR(H93/G93-1,"-")</f>
        <v>0.20693020985846755</v>
      </c>
      <c r="J93" s="161">
        <f t="shared" ref="J93:J103" si="30">H93-G93</f>
        <v>1272</v>
      </c>
      <c r="K93" s="162">
        <f>H93/H$8</f>
        <v>2.7109728076893844E-3</v>
      </c>
      <c r="L93" s="81"/>
    </row>
    <row r="94" spans="1:12" x14ac:dyDescent="0.25">
      <c r="A94" s="163" t="s">
        <v>105</v>
      </c>
      <c r="B94" s="164" t="s">
        <v>105</v>
      </c>
      <c r="C94" s="165">
        <v>0</v>
      </c>
      <c r="D94" s="165">
        <v>1771</v>
      </c>
      <c r="E94" s="165">
        <v>4228</v>
      </c>
      <c r="F94" s="165">
        <v>1166</v>
      </c>
      <c r="G94" s="165">
        <v>1164</v>
      </c>
      <c r="H94" s="165">
        <v>3102</v>
      </c>
      <c r="I94" s="166">
        <f>IFERROR(H94/G94-1,"-")</f>
        <v>1.6649484536082473</v>
      </c>
      <c r="J94" s="165">
        <f t="shared" si="30"/>
        <v>1938</v>
      </c>
      <c r="K94" s="166">
        <f>H94/H$8</f>
        <v>1.1335001549336123E-3</v>
      </c>
      <c r="L94" s="81"/>
    </row>
    <row r="95" spans="1:12" x14ac:dyDescent="0.25">
      <c r="A95" s="163" t="s">
        <v>102</v>
      </c>
      <c r="B95" s="164" t="s">
        <v>102</v>
      </c>
      <c r="C95" s="165">
        <v>0</v>
      </c>
      <c r="D95" s="165">
        <v>1478</v>
      </c>
      <c r="E95" s="165">
        <v>3726</v>
      </c>
      <c r="F95" s="165">
        <v>5380</v>
      </c>
      <c r="G95" s="165">
        <v>4983</v>
      </c>
      <c r="H95" s="165">
        <v>4317</v>
      </c>
      <c r="I95" s="166">
        <f>IFERROR(H95/G95-1,"-")</f>
        <v>-0.13365442504515357</v>
      </c>
      <c r="J95" s="165">
        <f t="shared" si="30"/>
        <v>-666</v>
      </c>
      <c r="K95" s="166">
        <f>H95/H$8</f>
        <v>1.5774726527557721E-3</v>
      </c>
      <c r="L95" s="81"/>
    </row>
    <row r="96" spans="1:12" x14ac:dyDescent="0.25">
      <c r="A96" s="163"/>
      <c r="B96" s="160" t="s">
        <v>109</v>
      </c>
      <c r="C96" s="161">
        <v>0</v>
      </c>
      <c r="D96" s="161">
        <v>2238</v>
      </c>
      <c r="E96" s="161">
        <v>3323</v>
      </c>
      <c r="F96" s="161">
        <v>3827</v>
      </c>
      <c r="G96" s="161">
        <v>3968</v>
      </c>
      <c r="H96" s="161">
        <v>4239</v>
      </c>
      <c r="I96" s="162">
        <f>IFERROR(H96/G96-1,"-")</f>
        <v>6.8296370967741993E-2</v>
      </c>
      <c r="J96" s="161">
        <f t="shared" si="30"/>
        <v>271</v>
      </c>
      <c r="K96" s="162">
        <f>H96/H$8</f>
        <v>1.5489707146239791E-3</v>
      </c>
      <c r="L96" s="81"/>
    </row>
    <row r="97" spans="1:12" s="57" customFormat="1" x14ac:dyDescent="0.25">
      <c r="A97" s="163"/>
      <c r="B97" s="164" t="s">
        <v>112</v>
      </c>
      <c r="C97" s="165">
        <v>0</v>
      </c>
      <c r="D97" s="165">
        <v>121</v>
      </c>
      <c r="E97" s="165">
        <v>530</v>
      </c>
      <c r="F97" s="165">
        <v>510</v>
      </c>
      <c r="G97" s="165">
        <v>471</v>
      </c>
      <c r="H97" s="165">
        <v>452</v>
      </c>
      <c r="I97" s="166">
        <f t="shared" ref="I97:I104" si="31">IFERROR(H97/G97-1,"-")</f>
        <v>-4.0339702760084917E-2</v>
      </c>
      <c r="J97" s="165">
        <f t="shared" si="30"/>
        <v>-19</v>
      </c>
      <c r="K97" s="166">
        <f t="shared" ref="K97:K104" si="32">H97/H$8</f>
        <v>1.6516507737910794E-4</v>
      </c>
      <c r="L97" s="167"/>
    </row>
    <row r="98" spans="1:12" s="57" customFormat="1" x14ac:dyDescent="0.25">
      <c r="A98" s="163"/>
      <c r="B98" s="164" t="s">
        <v>115</v>
      </c>
      <c r="C98" s="165">
        <v>0</v>
      </c>
      <c r="D98" s="165">
        <v>885</v>
      </c>
      <c r="E98" s="165">
        <v>894</v>
      </c>
      <c r="F98" s="165">
        <v>831</v>
      </c>
      <c r="G98" s="165">
        <v>1011</v>
      </c>
      <c r="H98" s="165">
        <v>965</v>
      </c>
      <c r="I98" s="166">
        <f t="shared" si="31"/>
        <v>-4.5499505440158239E-2</v>
      </c>
      <c r="J98" s="165">
        <f t="shared" si="30"/>
        <v>-46</v>
      </c>
      <c r="K98" s="166">
        <f t="shared" si="32"/>
        <v>3.5262013201513086E-4</v>
      </c>
      <c r="L98" s="167"/>
    </row>
    <row r="99" spans="1:12" x14ac:dyDescent="0.25">
      <c r="A99" s="163"/>
      <c r="B99" s="164" t="s">
        <v>118</v>
      </c>
      <c r="C99" s="165">
        <v>0</v>
      </c>
      <c r="D99" s="165">
        <v>357</v>
      </c>
      <c r="E99" s="165">
        <v>278</v>
      </c>
      <c r="F99" s="165">
        <v>374</v>
      </c>
      <c r="G99" s="165">
        <v>426</v>
      </c>
      <c r="H99" s="165">
        <v>397</v>
      </c>
      <c r="I99" s="166">
        <f t="shared" si="31"/>
        <v>-6.8075117370892002E-2</v>
      </c>
      <c r="J99" s="165">
        <f t="shared" si="30"/>
        <v>-29</v>
      </c>
      <c r="K99" s="166">
        <f t="shared" si="32"/>
        <v>1.4506755690156162E-4</v>
      </c>
      <c r="L99" s="81"/>
    </row>
    <row r="100" spans="1:12" x14ac:dyDescent="0.25">
      <c r="A100" s="163"/>
      <c r="B100" s="164" t="s">
        <v>125</v>
      </c>
      <c r="C100" s="165">
        <v>0</v>
      </c>
      <c r="D100" s="165">
        <v>52</v>
      </c>
      <c r="E100" s="165">
        <v>448</v>
      </c>
      <c r="F100" s="165">
        <v>127</v>
      </c>
      <c r="G100" s="165">
        <v>314</v>
      </c>
      <c r="H100" s="165">
        <v>155</v>
      </c>
      <c r="I100" s="166">
        <f t="shared" si="31"/>
        <v>-0.50636942675159236</v>
      </c>
      <c r="J100" s="165">
        <f t="shared" si="30"/>
        <v>-159</v>
      </c>
      <c r="K100" s="166">
        <f t="shared" si="32"/>
        <v>5.663846680035781E-5</v>
      </c>
      <c r="L100" s="81"/>
    </row>
    <row r="101" spans="1:12" x14ac:dyDescent="0.25">
      <c r="A101" s="163"/>
      <c r="B101" s="164" t="s">
        <v>121</v>
      </c>
      <c r="C101" s="165">
        <v>0</v>
      </c>
      <c r="D101" s="165">
        <v>84</v>
      </c>
      <c r="E101" s="165">
        <v>70</v>
      </c>
      <c r="F101" s="165">
        <v>73</v>
      </c>
      <c r="G101" s="165">
        <v>55</v>
      </c>
      <c r="H101" s="165">
        <v>105</v>
      </c>
      <c r="I101" s="166">
        <f t="shared" si="31"/>
        <v>0.90909090909090917</v>
      </c>
      <c r="J101" s="165">
        <f t="shared" si="30"/>
        <v>50</v>
      </c>
      <c r="K101" s="166">
        <f t="shared" si="32"/>
        <v>3.8367993638952063E-5</v>
      </c>
      <c r="L101" s="81"/>
    </row>
    <row r="102" spans="1:12" x14ac:dyDescent="0.25">
      <c r="A102" s="163"/>
      <c r="B102" s="164" t="s">
        <v>130</v>
      </c>
      <c r="C102" s="165">
        <v>0</v>
      </c>
      <c r="D102" s="165">
        <v>0</v>
      </c>
      <c r="E102" s="165">
        <v>7</v>
      </c>
      <c r="F102" s="165">
        <v>2</v>
      </c>
      <c r="G102" s="165">
        <v>176</v>
      </c>
      <c r="H102" s="165">
        <v>4</v>
      </c>
      <c r="I102" s="166">
        <f t="shared" si="31"/>
        <v>-0.97727272727272729</v>
      </c>
      <c r="J102" s="165">
        <f t="shared" si="30"/>
        <v>-172</v>
      </c>
      <c r="K102" s="166">
        <f t="shared" si="32"/>
        <v>1.4616378529124597E-6</v>
      </c>
      <c r="L102" s="81"/>
    </row>
    <row r="103" spans="1:12" x14ac:dyDescent="0.25">
      <c r="A103" s="163" t="s">
        <v>146</v>
      </c>
      <c r="B103" s="164" t="s">
        <v>133</v>
      </c>
      <c r="C103" s="165">
        <v>0</v>
      </c>
      <c r="D103" s="165">
        <v>10</v>
      </c>
      <c r="E103" s="165">
        <v>29</v>
      </c>
      <c r="F103" s="165">
        <v>48</v>
      </c>
      <c r="G103" s="165">
        <v>0</v>
      </c>
      <c r="H103" s="165">
        <v>30</v>
      </c>
      <c r="I103" s="166" t="str">
        <f t="shared" si="31"/>
        <v>-</v>
      </c>
      <c r="J103" s="165">
        <f t="shared" si="30"/>
        <v>30</v>
      </c>
      <c r="K103" s="166">
        <f t="shared" si="32"/>
        <v>1.0962283896843447E-5</v>
      </c>
      <c r="L103" s="81"/>
    </row>
    <row r="104" spans="1:12" x14ac:dyDescent="0.25">
      <c r="A104" s="163" t="s">
        <v>147</v>
      </c>
      <c r="B104" s="169" t="s">
        <v>147</v>
      </c>
      <c r="C104" s="170">
        <f t="shared" ref="C104" si="33">C96-SUM(C97:C103)</f>
        <v>0</v>
      </c>
      <c r="D104" s="170">
        <f t="shared" ref="D104:H104" si="34">D96-SUM(D97:D103)</f>
        <v>729</v>
      </c>
      <c r="E104" s="170">
        <f t="shared" si="34"/>
        <v>1067</v>
      </c>
      <c r="F104" s="170">
        <f t="shared" si="34"/>
        <v>1862</v>
      </c>
      <c r="G104" s="170">
        <f t="shared" si="34"/>
        <v>1515</v>
      </c>
      <c r="H104" s="170">
        <f t="shared" si="34"/>
        <v>2131</v>
      </c>
      <c r="I104" s="171">
        <f t="shared" si="31"/>
        <v>0.40660066006600659</v>
      </c>
      <c r="J104" s="170">
        <f>H104-G104</f>
        <v>616</v>
      </c>
      <c r="K104" s="171">
        <f t="shared" si="32"/>
        <v>7.7868756613911282E-4</v>
      </c>
      <c r="L104" s="81"/>
    </row>
    <row r="105" spans="1:12" s="147" customFormat="1" x14ac:dyDescent="0.25">
      <c r="A105" s="163"/>
      <c r="B105" s="156" t="s">
        <v>52</v>
      </c>
      <c r="C105" s="154"/>
      <c r="D105" s="154"/>
      <c r="E105" s="154"/>
      <c r="F105" s="154"/>
      <c r="G105" s="154"/>
      <c r="H105" s="154"/>
      <c r="I105" s="154"/>
      <c r="J105" s="154"/>
      <c r="K105" s="154"/>
    </row>
    <row r="106" spans="1:12" x14ac:dyDescent="0.25">
      <c r="A106" s="163"/>
      <c r="B106" s="157" t="s">
        <v>70</v>
      </c>
      <c r="C106" s="177">
        <v>0</v>
      </c>
      <c r="D106" s="177">
        <v>64992</v>
      </c>
      <c r="E106" s="177">
        <v>93083</v>
      </c>
      <c r="F106" s="177">
        <v>128219</v>
      </c>
      <c r="G106" s="177">
        <v>124929</v>
      </c>
      <c r="H106" s="177">
        <v>121111</v>
      </c>
      <c r="I106" s="178">
        <f>IFERROR(H106/G106-1,"-")</f>
        <v>-3.0561358851827869E-2</v>
      </c>
      <c r="J106" s="177">
        <f>H106-G106</f>
        <v>-3818</v>
      </c>
      <c r="K106" s="178">
        <f>H106/H$8</f>
        <v>4.4255105501020221E-2</v>
      </c>
      <c r="L106" s="81"/>
    </row>
    <row r="107" spans="1:12" x14ac:dyDescent="0.25">
      <c r="A107" s="163" t="s">
        <v>98</v>
      </c>
      <c r="B107" s="160" t="s">
        <v>99</v>
      </c>
      <c r="C107" s="161">
        <v>0</v>
      </c>
      <c r="D107" s="161">
        <v>22760</v>
      </c>
      <c r="E107" s="161">
        <v>14239</v>
      </c>
      <c r="F107" s="161">
        <v>18322</v>
      </c>
      <c r="G107" s="161">
        <v>20012</v>
      </c>
      <c r="H107" s="161">
        <v>23498</v>
      </c>
      <c r="I107" s="162">
        <f>IFERROR(H107/G107-1,"-")</f>
        <v>0.17419548271037377</v>
      </c>
      <c r="J107" s="161">
        <f t="shared" ref="J107:J117" si="35">H107-G107</f>
        <v>3486</v>
      </c>
      <c r="K107" s="162">
        <f>H107/H$8</f>
        <v>8.5863915669342431E-3</v>
      </c>
      <c r="L107" s="81"/>
    </row>
    <row r="108" spans="1:12" x14ac:dyDescent="0.25">
      <c r="A108" s="163" t="s">
        <v>105</v>
      </c>
      <c r="B108" s="164" t="s">
        <v>105</v>
      </c>
      <c r="C108" s="165">
        <v>0</v>
      </c>
      <c r="D108" s="165">
        <v>8801</v>
      </c>
      <c r="E108" s="165">
        <v>2599</v>
      </c>
      <c r="F108" s="165">
        <v>4933</v>
      </c>
      <c r="G108" s="165">
        <v>5206</v>
      </c>
      <c r="H108" s="165">
        <v>9241</v>
      </c>
      <c r="I108" s="166">
        <f>IFERROR(H108/G108-1,"-")</f>
        <v>0.77506723011909329</v>
      </c>
      <c r="J108" s="165">
        <f t="shared" si="35"/>
        <v>4035</v>
      </c>
      <c r="K108" s="166">
        <f>H108/H$8</f>
        <v>3.3767488496910096E-3</v>
      </c>
      <c r="L108" s="81"/>
    </row>
    <row r="109" spans="1:12" x14ac:dyDescent="0.25">
      <c r="A109" s="163" t="s">
        <v>102</v>
      </c>
      <c r="B109" s="164" t="s">
        <v>102</v>
      </c>
      <c r="C109" s="165">
        <v>0</v>
      </c>
      <c r="D109" s="165">
        <v>13959</v>
      </c>
      <c r="E109" s="165">
        <v>11640</v>
      </c>
      <c r="F109" s="165">
        <v>13389</v>
      </c>
      <c r="G109" s="165">
        <v>14806</v>
      </c>
      <c r="H109" s="165">
        <v>14257</v>
      </c>
      <c r="I109" s="166">
        <f>IFERROR(H109/G109-1,"-")</f>
        <v>-3.7079562339592087E-2</v>
      </c>
      <c r="J109" s="165">
        <f t="shared" si="35"/>
        <v>-549</v>
      </c>
      <c r="K109" s="166">
        <f>H109/H$8</f>
        <v>5.209642717243234E-3</v>
      </c>
      <c r="L109" s="81"/>
    </row>
    <row r="110" spans="1:12" x14ac:dyDescent="0.25">
      <c r="A110" s="163"/>
      <c r="B110" s="160" t="s">
        <v>109</v>
      </c>
      <c r="C110" s="161">
        <v>0</v>
      </c>
      <c r="D110" s="161">
        <v>42232</v>
      </c>
      <c r="E110" s="161">
        <v>78844</v>
      </c>
      <c r="F110" s="161">
        <v>109897</v>
      </c>
      <c r="G110" s="161">
        <v>104917</v>
      </c>
      <c r="H110" s="161">
        <v>97613</v>
      </c>
      <c r="I110" s="162">
        <f>IFERROR(H110/G110-1,"-")</f>
        <v>-6.9616935291706761E-2</v>
      </c>
      <c r="J110" s="161">
        <f t="shared" si="35"/>
        <v>-7304</v>
      </c>
      <c r="K110" s="162">
        <f>H110/H$8</f>
        <v>3.566871393408598E-2</v>
      </c>
      <c r="L110" s="81"/>
    </row>
    <row r="111" spans="1:12" s="57" customFormat="1" x14ac:dyDescent="0.25">
      <c r="A111" s="163"/>
      <c r="B111" s="164" t="s">
        <v>112</v>
      </c>
      <c r="C111" s="165">
        <v>0</v>
      </c>
      <c r="D111" s="165">
        <v>5286</v>
      </c>
      <c r="E111" s="165">
        <v>50592</v>
      </c>
      <c r="F111" s="165">
        <v>70294</v>
      </c>
      <c r="G111" s="165">
        <v>70684</v>
      </c>
      <c r="H111" s="165">
        <v>58884</v>
      </c>
      <c r="I111" s="166">
        <f t="shared" ref="I111:I118" si="36">IFERROR(H111/G111-1,"-")</f>
        <v>-0.16694018448305137</v>
      </c>
      <c r="J111" s="165">
        <f t="shared" si="35"/>
        <v>-11800</v>
      </c>
      <c r="K111" s="166">
        <f t="shared" ref="K111:K118" si="37">H111/H$8</f>
        <v>2.1516770832724318E-2</v>
      </c>
      <c r="L111" s="167"/>
    </row>
    <row r="112" spans="1:12" s="57" customFormat="1" x14ac:dyDescent="0.25">
      <c r="A112" s="163"/>
      <c r="B112" s="164" t="s">
        <v>115</v>
      </c>
      <c r="C112" s="165">
        <v>0</v>
      </c>
      <c r="D112" s="165">
        <v>9992</v>
      </c>
      <c r="E112" s="165">
        <v>2320</v>
      </c>
      <c r="F112" s="165">
        <v>4197</v>
      </c>
      <c r="G112" s="165">
        <v>3422</v>
      </c>
      <c r="H112" s="165">
        <v>5395</v>
      </c>
      <c r="I112" s="166">
        <f t="shared" si="36"/>
        <v>0.5765634132086499</v>
      </c>
      <c r="J112" s="165">
        <f t="shared" si="35"/>
        <v>1973</v>
      </c>
      <c r="K112" s="166">
        <f t="shared" si="37"/>
        <v>1.9713840541156799E-3</v>
      </c>
      <c r="L112" s="167"/>
    </row>
    <row r="113" spans="1:12" x14ac:dyDescent="0.25">
      <c r="A113" s="163"/>
      <c r="B113" s="164" t="s">
        <v>118</v>
      </c>
      <c r="C113" s="165">
        <v>0</v>
      </c>
      <c r="D113" s="165">
        <v>7439</v>
      </c>
      <c r="E113" s="165">
        <v>3065</v>
      </c>
      <c r="F113" s="165">
        <v>6352</v>
      </c>
      <c r="G113" s="165">
        <v>6666</v>
      </c>
      <c r="H113" s="165">
        <v>9715</v>
      </c>
      <c r="I113" s="166">
        <f t="shared" si="36"/>
        <v>0.4573957395739574</v>
      </c>
      <c r="J113" s="165">
        <f t="shared" si="35"/>
        <v>3049</v>
      </c>
      <c r="K113" s="166">
        <f t="shared" si="37"/>
        <v>3.5499529352611362E-3</v>
      </c>
      <c r="L113" s="81"/>
    </row>
    <row r="114" spans="1:12" x14ac:dyDescent="0.25">
      <c r="A114" s="163"/>
      <c r="B114" s="164" t="s">
        <v>125</v>
      </c>
      <c r="C114" s="165">
        <v>0</v>
      </c>
      <c r="D114" s="165">
        <v>4844</v>
      </c>
      <c r="E114" s="165">
        <v>2005</v>
      </c>
      <c r="F114" s="165">
        <v>2054</v>
      </c>
      <c r="G114" s="165">
        <v>2200</v>
      </c>
      <c r="H114" s="165">
        <v>2339</v>
      </c>
      <c r="I114" s="166">
        <f t="shared" si="36"/>
        <v>6.3181818181818228E-2</v>
      </c>
      <c r="J114" s="165">
        <f t="shared" si="35"/>
        <v>139</v>
      </c>
      <c r="K114" s="166">
        <f t="shared" si="37"/>
        <v>8.5469273449056071E-4</v>
      </c>
      <c r="L114" s="81"/>
    </row>
    <row r="115" spans="1:12" x14ac:dyDescent="0.25">
      <c r="A115" s="163"/>
      <c r="B115" s="164" t="s">
        <v>121</v>
      </c>
      <c r="C115" s="165">
        <v>0</v>
      </c>
      <c r="D115" s="165">
        <v>5012</v>
      </c>
      <c r="E115" s="165">
        <v>2792</v>
      </c>
      <c r="F115" s="165">
        <v>1595</v>
      </c>
      <c r="G115" s="165">
        <v>1704</v>
      </c>
      <c r="H115" s="165">
        <v>1764</v>
      </c>
      <c r="I115" s="166">
        <f t="shared" si="36"/>
        <v>3.5211267605633756E-2</v>
      </c>
      <c r="J115" s="165">
        <f t="shared" si="35"/>
        <v>60</v>
      </c>
      <c r="K115" s="166">
        <f t="shared" si="37"/>
        <v>6.4458229313439468E-4</v>
      </c>
      <c r="L115" s="81"/>
    </row>
    <row r="116" spans="1:12" x14ac:dyDescent="0.25">
      <c r="A116" s="163"/>
      <c r="B116" s="164" t="s">
        <v>130</v>
      </c>
      <c r="C116" s="165">
        <v>0</v>
      </c>
      <c r="D116" s="165">
        <v>26</v>
      </c>
      <c r="E116" s="165">
        <v>162</v>
      </c>
      <c r="F116" s="165">
        <v>63</v>
      </c>
      <c r="G116" s="165">
        <v>224</v>
      </c>
      <c r="H116" s="165">
        <v>235</v>
      </c>
      <c r="I116" s="166">
        <f t="shared" si="36"/>
        <v>4.9107142857142794E-2</v>
      </c>
      <c r="J116" s="165">
        <f t="shared" si="35"/>
        <v>11</v>
      </c>
      <c r="K116" s="166">
        <f t="shared" si="37"/>
        <v>8.5871223858607004E-5</v>
      </c>
      <c r="L116" s="81"/>
    </row>
    <row r="117" spans="1:12" x14ac:dyDescent="0.25">
      <c r="A117" s="163" t="s">
        <v>146</v>
      </c>
      <c r="B117" s="164" t="s">
        <v>133</v>
      </c>
      <c r="C117" s="165">
        <v>0</v>
      </c>
      <c r="D117" s="165">
        <v>46</v>
      </c>
      <c r="E117" s="165">
        <v>278</v>
      </c>
      <c r="F117" s="165">
        <v>45</v>
      </c>
      <c r="G117" s="165">
        <v>67</v>
      </c>
      <c r="H117" s="165">
        <v>93</v>
      </c>
      <c r="I117" s="166">
        <f t="shared" si="36"/>
        <v>0.38805970149253732</v>
      </c>
      <c r="J117" s="165">
        <f t="shared" si="35"/>
        <v>26</v>
      </c>
      <c r="K117" s="166">
        <f t="shared" si="37"/>
        <v>3.3983080080214686E-5</v>
      </c>
      <c r="L117" s="81"/>
    </row>
    <row r="118" spans="1:12" x14ac:dyDescent="0.25">
      <c r="A118" s="163" t="s">
        <v>147</v>
      </c>
      <c r="B118" s="169" t="s">
        <v>147</v>
      </c>
      <c r="C118" s="170">
        <f t="shared" ref="C118" si="38">C110-SUM(C111:C117)</f>
        <v>0</v>
      </c>
      <c r="D118" s="170">
        <f t="shared" ref="D118:H118" si="39">D110-SUM(D111:D117)</f>
        <v>9587</v>
      </c>
      <c r="E118" s="170">
        <f t="shared" si="39"/>
        <v>17630</v>
      </c>
      <c r="F118" s="170">
        <f t="shared" si="39"/>
        <v>25297</v>
      </c>
      <c r="G118" s="170">
        <f t="shared" si="39"/>
        <v>19950</v>
      </c>
      <c r="H118" s="170">
        <f t="shared" si="39"/>
        <v>19188</v>
      </c>
      <c r="I118" s="171">
        <f t="shared" si="36"/>
        <v>-3.819548872180456E-2</v>
      </c>
      <c r="J118" s="170">
        <f>H118-G118</f>
        <v>-762</v>
      </c>
      <c r="K118" s="171">
        <f t="shared" si="37"/>
        <v>7.0114767804210689E-3</v>
      </c>
      <c r="L118" s="81"/>
    </row>
    <row r="119" spans="1:12" s="147" customFormat="1" x14ac:dyDescent="0.25">
      <c r="A119" s="163"/>
      <c r="B119" s="156" t="s">
        <v>53</v>
      </c>
      <c r="C119" s="154"/>
      <c r="D119" s="154"/>
      <c r="E119" s="154"/>
      <c r="F119" s="154"/>
      <c r="G119" s="154"/>
      <c r="H119" s="154"/>
      <c r="I119" s="154"/>
      <c r="J119" s="154"/>
      <c r="K119" s="154"/>
    </row>
    <row r="120" spans="1:12" x14ac:dyDescent="0.25">
      <c r="A120" s="163"/>
      <c r="B120" s="157" t="s">
        <v>70</v>
      </c>
      <c r="C120" s="177">
        <v>0</v>
      </c>
      <c r="D120" s="177">
        <v>26795</v>
      </c>
      <c r="E120" s="177">
        <v>40470</v>
      </c>
      <c r="F120" s="177">
        <v>38639</v>
      </c>
      <c r="G120" s="177">
        <v>40074</v>
      </c>
      <c r="H120" s="177">
        <v>42497</v>
      </c>
      <c r="I120" s="178">
        <f>IFERROR(H120/G120-1,"-")</f>
        <v>6.0463143185107482E-2</v>
      </c>
      <c r="J120" s="177">
        <f>H120-G120</f>
        <v>2423</v>
      </c>
      <c r="K120" s="178">
        <f>H120/H$8</f>
        <v>1.5528805958805198E-2</v>
      </c>
      <c r="L120" s="81"/>
    </row>
    <row r="121" spans="1:12" x14ac:dyDescent="0.25">
      <c r="A121" s="163" t="s">
        <v>98</v>
      </c>
      <c r="B121" s="160" t="s">
        <v>99</v>
      </c>
      <c r="C121" s="161">
        <v>0</v>
      </c>
      <c r="D121" s="161">
        <v>18447</v>
      </c>
      <c r="E121" s="161">
        <v>24304</v>
      </c>
      <c r="F121" s="161">
        <v>25871</v>
      </c>
      <c r="G121" s="161">
        <v>28215</v>
      </c>
      <c r="H121" s="161">
        <v>31150</v>
      </c>
      <c r="I121" s="162">
        <f>IFERROR(H121/G121-1,"-")</f>
        <v>0.10402268297005146</v>
      </c>
      <c r="J121" s="161">
        <f t="shared" ref="J121:J131" si="40">H121-G121</f>
        <v>2935</v>
      </c>
      <c r="K121" s="162">
        <f>H121/H$8</f>
        <v>1.1382504779555779E-2</v>
      </c>
      <c r="L121" s="81"/>
    </row>
    <row r="122" spans="1:12" x14ac:dyDescent="0.25">
      <c r="A122" s="163" t="s">
        <v>105</v>
      </c>
      <c r="B122" s="164" t="s">
        <v>105</v>
      </c>
      <c r="C122" s="165">
        <v>0</v>
      </c>
      <c r="D122" s="165">
        <v>9609</v>
      </c>
      <c r="E122" s="165">
        <v>12260</v>
      </c>
      <c r="F122" s="165">
        <v>11203</v>
      </c>
      <c r="G122" s="165">
        <v>12643</v>
      </c>
      <c r="H122" s="165">
        <v>15227</v>
      </c>
      <c r="I122" s="166">
        <f>IFERROR(H122/G122-1,"-")</f>
        <v>0.20438187139128372</v>
      </c>
      <c r="J122" s="165">
        <f t="shared" si="40"/>
        <v>2584</v>
      </c>
      <c r="K122" s="166">
        <f>H122/H$8</f>
        <v>5.5640898965745051E-3</v>
      </c>
      <c r="L122" s="81"/>
    </row>
    <row r="123" spans="1:12" x14ac:dyDescent="0.25">
      <c r="A123" s="163" t="s">
        <v>102</v>
      </c>
      <c r="B123" s="164" t="s">
        <v>102</v>
      </c>
      <c r="C123" s="165">
        <v>0</v>
      </c>
      <c r="D123" s="165">
        <v>8838</v>
      </c>
      <c r="E123" s="165">
        <v>12044</v>
      </c>
      <c r="F123" s="165">
        <v>14668</v>
      </c>
      <c r="G123" s="165">
        <v>15572</v>
      </c>
      <c r="H123" s="165">
        <v>15923</v>
      </c>
      <c r="I123" s="166">
        <f>IFERROR(H123/G123-1,"-")</f>
        <v>2.2540457230927347E-2</v>
      </c>
      <c r="J123" s="165">
        <f t="shared" si="40"/>
        <v>351</v>
      </c>
      <c r="K123" s="166">
        <f>H123/H$8</f>
        <v>5.8184148829812732E-3</v>
      </c>
      <c r="L123" s="81"/>
    </row>
    <row r="124" spans="1:12" x14ac:dyDescent="0.25">
      <c r="A124" s="163"/>
      <c r="B124" s="160" t="s">
        <v>109</v>
      </c>
      <c r="C124" s="161">
        <v>0</v>
      </c>
      <c r="D124" s="161">
        <v>8348</v>
      </c>
      <c r="E124" s="161">
        <v>16166</v>
      </c>
      <c r="F124" s="161">
        <v>12768</v>
      </c>
      <c r="G124" s="161">
        <v>11859</v>
      </c>
      <c r="H124" s="161">
        <v>11347</v>
      </c>
      <c r="I124" s="162">
        <f>IFERROR(H124/G124-1,"-")</f>
        <v>-4.3173960704949832E-2</v>
      </c>
      <c r="J124" s="161">
        <f t="shared" si="40"/>
        <v>-512</v>
      </c>
      <c r="K124" s="162">
        <f>H124/H$8</f>
        <v>4.1463011792494198E-3</v>
      </c>
      <c r="L124" s="81"/>
    </row>
    <row r="125" spans="1:12" s="57" customFormat="1" x14ac:dyDescent="0.25">
      <c r="A125" s="163"/>
      <c r="B125" s="164" t="s">
        <v>112</v>
      </c>
      <c r="C125" s="165">
        <v>0</v>
      </c>
      <c r="D125" s="165">
        <v>363</v>
      </c>
      <c r="E125" s="165">
        <v>2004</v>
      </c>
      <c r="F125" s="165">
        <v>1777</v>
      </c>
      <c r="G125" s="165">
        <v>1481</v>
      </c>
      <c r="H125" s="165">
        <v>1064</v>
      </c>
      <c r="I125" s="166">
        <f t="shared" ref="I125:I132" si="41">IFERROR(H125/G125-1,"-")</f>
        <v>-0.28156650911546255</v>
      </c>
      <c r="J125" s="165">
        <f t="shared" si="40"/>
        <v>-417</v>
      </c>
      <c r="K125" s="166">
        <f t="shared" ref="K125:K132" si="42">H125/H$8</f>
        <v>3.8879566887471424E-4</v>
      </c>
      <c r="L125" s="167"/>
    </row>
    <row r="126" spans="1:12" s="57" customFormat="1" x14ac:dyDescent="0.25">
      <c r="A126" s="163"/>
      <c r="B126" s="164" t="s">
        <v>115</v>
      </c>
      <c r="C126" s="165">
        <v>0</v>
      </c>
      <c r="D126" s="165">
        <v>1002</v>
      </c>
      <c r="E126" s="165">
        <v>1123</v>
      </c>
      <c r="F126" s="165">
        <v>1064</v>
      </c>
      <c r="G126" s="165">
        <v>1312</v>
      </c>
      <c r="H126" s="165">
        <v>1070</v>
      </c>
      <c r="I126" s="166">
        <f t="shared" si="41"/>
        <v>-0.18445121951219512</v>
      </c>
      <c r="J126" s="165">
        <f t="shared" si="40"/>
        <v>-242</v>
      </c>
      <c r="K126" s="166">
        <f t="shared" si="42"/>
        <v>3.9098812565408294E-4</v>
      </c>
      <c r="L126" s="167"/>
    </row>
    <row r="127" spans="1:12" x14ac:dyDescent="0.25">
      <c r="A127" s="163"/>
      <c r="B127" s="164" t="s">
        <v>118</v>
      </c>
      <c r="C127" s="165">
        <v>0</v>
      </c>
      <c r="D127" s="165">
        <v>1029</v>
      </c>
      <c r="E127" s="165">
        <v>1049</v>
      </c>
      <c r="F127" s="165">
        <v>1678</v>
      </c>
      <c r="G127" s="165">
        <v>905</v>
      </c>
      <c r="H127" s="165">
        <v>923</v>
      </c>
      <c r="I127" s="166">
        <f t="shared" si="41"/>
        <v>1.9889502762430844E-2</v>
      </c>
      <c r="J127" s="165">
        <f t="shared" si="40"/>
        <v>18</v>
      </c>
      <c r="K127" s="166">
        <f t="shared" si="42"/>
        <v>3.3727293455955003E-4</v>
      </c>
      <c r="L127" s="81"/>
    </row>
    <row r="128" spans="1:12" x14ac:dyDescent="0.25">
      <c r="A128" s="163"/>
      <c r="B128" s="164" t="s">
        <v>125</v>
      </c>
      <c r="C128" s="165">
        <v>0</v>
      </c>
      <c r="D128" s="165">
        <v>197</v>
      </c>
      <c r="E128" s="165">
        <v>373</v>
      </c>
      <c r="F128" s="165">
        <v>225</v>
      </c>
      <c r="G128" s="165">
        <v>267</v>
      </c>
      <c r="H128" s="165">
        <v>360</v>
      </c>
      <c r="I128" s="166">
        <f t="shared" si="41"/>
        <v>0.348314606741573</v>
      </c>
      <c r="J128" s="165">
        <f t="shared" si="40"/>
        <v>93</v>
      </c>
      <c r="K128" s="166">
        <f t="shared" si="42"/>
        <v>1.3154740676212136E-4</v>
      </c>
      <c r="L128" s="81"/>
    </row>
    <row r="129" spans="1:12" x14ac:dyDescent="0.25">
      <c r="A129" s="163"/>
      <c r="B129" s="164" t="s">
        <v>121</v>
      </c>
      <c r="C129" s="165">
        <v>0</v>
      </c>
      <c r="D129" s="165">
        <v>160</v>
      </c>
      <c r="E129" s="165">
        <v>268</v>
      </c>
      <c r="F129" s="165">
        <v>221</v>
      </c>
      <c r="G129" s="165">
        <v>272</v>
      </c>
      <c r="H129" s="165">
        <v>281</v>
      </c>
      <c r="I129" s="166">
        <f t="shared" si="41"/>
        <v>3.3088235294117752E-2</v>
      </c>
      <c r="J129" s="165">
        <f t="shared" si="40"/>
        <v>9</v>
      </c>
      <c r="K129" s="166">
        <f t="shared" si="42"/>
        <v>1.0268005916710028E-4</v>
      </c>
      <c r="L129" s="81"/>
    </row>
    <row r="130" spans="1:12" x14ac:dyDescent="0.25">
      <c r="A130" s="163"/>
      <c r="B130" s="164" t="s">
        <v>130</v>
      </c>
      <c r="C130" s="165">
        <v>0</v>
      </c>
      <c r="D130" s="165">
        <v>15</v>
      </c>
      <c r="E130" s="165">
        <v>91</v>
      </c>
      <c r="F130" s="165">
        <v>162</v>
      </c>
      <c r="G130" s="165">
        <v>228</v>
      </c>
      <c r="H130" s="165">
        <v>75</v>
      </c>
      <c r="I130" s="166">
        <f t="shared" si="41"/>
        <v>-0.67105263157894735</v>
      </c>
      <c r="J130" s="165">
        <f t="shared" si="40"/>
        <v>-153</v>
      </c>
      <c r="K130" s="166">
        <f t="shared" si="42"/>
        <v>2.7405709742108617E-5</v>
      </c>
      <c r="L130" s="81"/>
    </row>
    <row r="131" spans="1:12" x14ac:dyDescent="0.25">
      <c r="A131" s="163" t="s">
        <v>146</v>
      </c>
      <c r="B131" s="164" t="s">
        <v>133</v>
      </c>
      <c r="C131" s="165">
        <v>0</v>
      </c>
      <c r="D131" s="165">
        <v>61</v>
      </c>
      <c r="E131" s="165">
        <v>343</v>
      </c>
      <c r="F131" s="165">
        <v>78</v>
      </c>
      <c r="G131" s="165">
        <v>57</v>
      </c>
      <c r="H131" s="165">
        <v>74</v>
      </c>
      <c r="I131" s="166">
        <f t="shared" si="41"/>
        <v>0.29824561403508776</v>
      </c>
      <c r="J131" s="165">
        <f t="shared" si="40"/>
        <v>17</v>
      </c>
      <c r="K131" s="166">
        <f t="shared" si="42"/>
        <v>2.7040300278880501E-5</v>
      </c>
      <c r="L131" s="81"/>
    </row>
    <row r="132" spans="1:12" x14ac:dyDescent="0.25">
      <c r="A132" s="163" t="s">
        <v>147</v>
      </c>
      <c r="B132" s="169" t="s">
        <v>147</v>
      </c>
      <c r="C132" s="170">
        <f t="shared" ref="C132" si="43">C124-SUM(C125:C131)</f>
        <v>0</v>
      </c>
      <c r="D132" s="170">
        <f t="shared" ref="D132:H132" si="44">D124-SUM(D125:D131)</f>
        <v>5521</v>
      </c>
      <c r="E132" s="170">
        <f t="shared" si="44"/>
        <v>10915</v>
      </c>
      <c r="F132" s="170">
        <f t="shared" si="44"/>
        <v>7563</v>
      </c>
      <c r="G132" s="170">
        <f t="shared" si="44"/>
        <v>7337</v>
      </c>
      <c r="H132" s="170">
        <f t="shared" si="44"/>
        <v>7500</v>
      </c>
      <c r="I132" s="171">
        <f t="shared" si="41"/>
        <v>2.2216164644950354E-2</v>
      </c>
      <c r="J132" s="170">
        <f>H132-G132</f>
        <v>163</v>
      </c>
      <c r="K132" s="171">
        <f t="shared" si="42"/>
        <v>2.7405709742108616E-3</v>
      </c>
      <c r="L132" s="81"/>
    </row>
    <row r="133" spans="1:12" s="147" customFormat="1" x14ac:dyDescent="0.25">
      <c r="A133" s="163"/>
      <c r="B133" s="156" t="s">
        <v>54</v>
      </c>
      <c r="C133" s="154"/>
      <c r="D133" s="154"/>
      <c r="E133" s="154"/>
      <c r="F133" s="154"/>
      <c r="G133" s="154"/>
      <c r="H133" s="154"/>
      <c r="I133" s="154"/>
      <c r="J133" s="154"/>
      <c r="K133" s="154"/>
    </row>
    <row r="134" spans="1:12" x14ac:dyDescent="0.25">
      <c r="A134" s="163"/>
      <c r="B134" s="157" t="s">
        <v>70</v>
      </c>
      <c r="C134" s="177">
        <v>0</v>
      </c>
      <c r="D134" s="177">
        <v>18794</v>
      </c>
      <c r="E134" s="177">
        <v>132220</v>
      </c>
      <c r="F134" s="177">
        <v>142289</v>
      </c>
      <c r="G134" s="177">
        <v>157113</v>
      </c>
      <c r="H134" s="177">
        <v>156124</v>
      </c>
      <c r="I134" s="178">
        <f>IFERROR(H134/G134-1,"-")</f>
        <v>-6.2948323817888507E-3</v>
      </c>
      <c r="J134" s="177">
        <f>H134-G134</f>
        <v>-989</v>
      </c>
      <c r="K134" s="178">
        <f>H134/H$8</f>
        <v>5.704918703702621E-2</v>
      </c>
      <c r="L134" s="81"/>
    </row>
    <row r="135" spans="1:12" x14ac:dyDescent="0.25">
      <c r="A135" s="163" t="s">
        <v>98</v>
      </c>
      <c r="B135" s="160" t="s">
        <v>99</v>
      </c>
      <c r="C135" s="161">
        <v>0</v>
      </c>
      <c r="D135" s="161">
        <v>7198</v>
      </c>
      <c r="E135" s="161">
        <v>7211</v>
      </c>
      <c r="F135" s="161">
        <v>11716</v>
      </c>
      <c r="G135" s="161">
        <v>9313</v>
      </c>
      <c r="H135" s="161">
        <v>9472</v>
      </c>
      <c r="I135" s="162">
        <f>IFERROR(H135/G135-1,"-")</f>
        <v>1.7072908837109324E-2</v>
      </c>
      <c r="J135" s="161">
        <f t="shared" ref="J135:J145" si="45">H135-G135</f>
        <v>159</v>
      </c>
      <c r="K135" s="162">
        <f>H135/H$8</f>
        <v>3.4611584356967042E-3</v>
      </c>
      <c r="L135" s="81"/>
    </row>
    <row r="136" spans="1:12" x14ac:dyDescent="0.25">
      <c r="A136" s="163" t="s">
        <v>105</v>
      </c>
      <c r="B136" s="164" t="s">
        <v>105</v>
      </c>
      <c r="C136" s="165">
        <v>0</v>
      </c>
      <c r="D136" s="165">
        <v>3492</v>
      </c>
      <c r="E136" s="165">
        <v>3205</v>
      </c>
      <c r="F136" s="165">
        <v>6156</v>
      </c>
      <c r="G136" s="165">
        <v>5195</v>
      </c>
      <c r="H136" s="165">
        <v>3556</v>
      </c>
      <c r="I136" s="166">
        <f>IFERROR(H136/G136-1,"-")</f>
        <v>-0.31549566891241576</v>
      </c>
      <c r="J136" s="165">
        <f t="shared" si="45"/>
        <v>-1639</v>
      </c>
      <c r="K136" s="166">
        <f>H136/H$8</f>
        <v>1.2993960512391765E-3</v>
      </c>
      <c r="L136" s="81"/>
    </row>
    <row r="137" spans="1:12" x14ac:dyDescent="0.25">
      <c r="A137" s="163" t="s">
        <v>102</v>
      </c>
      <c r="B137" s="164" t="s">
        <v>102</v>
      </c>
      <c r="C137" s="165">
        <v>0</v>
      </c>
      <c r="D137" s="165">
        <v>3706</v>
      </c>
      <c r="E137" s="165">
        <v>4006</v>
      </c>
      <c r="F137" s="165">
        <v>5560</v>
      </c>
      <c r="G137" s="165">
        <v>4118</v>
      </c>
      <c r="H137" s="165">
        <v>5916</v>
      </c>
      <c r="I137" s="166">
        <f>IFERROR(H137/G137-1,"-")</f>
        <v>0.43661971830985924</v>
      </c>
      <c r="J137" s="165">
        <f t="shared" si="45"/>
        <v>1798</v>
      </c>
      <c r="K137" s="166">
        <f>H137/H$8</f>
        <v>2.1617623844575277E-3</v>
      </c>
      <c r="L137" s="81"/>
    </row>
    <row r="138" spans="1:12" x14ac:dyDescent="0.25">
      <c r="A138" s="163"/>
      <c r="B138" s="160" t="s">
        <v>109</v>
      </c>
      <c r="C138" s="161">
        <v>0</v>
      </c>
      <c r="D138" s="161">
        <v>11596</v>
      </c>
      <c r="E138" s="161">
        <v>125009</v>
      </c>
      <c r="F138" s="161">
        <v>130573</v>
      </c>
      <c r="G138" s="161">
        <v>147800</v>
      </c>
      <c r="H138" s="161">
        <v>146652</v>
      </c>
      <c r="I138" s="162">
        <f>IFERROR(H138/G138-1,"-")</f>
        <v>-7.7672530446549759E-3</v>
      </c>
      <c r="J138" s="161">
        <f t="shared" si="45"/>
        <v>-1148</v>
      </c>
      <c r="K138" s="162">
        <f>H138/H$8</f>
        <v>5.3588028601329503E-2</v>
      </c>
      <c r="L138" s="81"/>
    </row>
    <row r="139" spans="1:12" s="57" customFormat="1" x14ac:dyDescent="0.25">
      <c r="A139" s="163"/>
      <c r="B139" s="164" t="s">
        <v>112</v>
      </c>
      <c r="C139" s="165">
        <v>0</v>
      </c>
      <c r="D139" s="165">
        <v>488</v>
      </c>
      <c r="E139" s="165">
        <v>59135</v>
      </c>
      <c r="F139" s="165">
        <v>59708</v>
      </c>
      <c r="G139" s="165">
        <v>77243</v>
      </c>
      <c r="H139" s="165">
        <v>76127</v>
      </c>
      <c r="I139" s="166">
        <f t="shared" ref="I139:I146" si="46">IFERROR(H139/G139-1,"-")</f>
        <v>-1.4447911137578817E-2</v>
      </c>
      <c r="J139" s="165">
        <f t="shared" si="45"/>
        <v>-1116</v>
      </c>
      <c r="K139" s="166">
        <f t="shared" ref="K139:K146" si="47">H139/H$8</f>
        <v>2.7817526207166703E-2</v>
      </c>
      <c r="L139" s="167"/>
    </row>
    <row r="140" spans="1:12" s="57" customFormat="1" x14ac:dyDescent="0.25">
      <c r="A140" s="163"/>
      <c r="B140" s="164" t="s">
        <v>115</v>
      </c>
      <c r="C140" s="165">
        <v>0</v>
      </c>
      <c r="D140" s="165">
        <v>1838</v>
      </c>
      <c r="E140" s="165">
        <v>9733</v>
      </c>
      <c r="F140" s="165">
        <v>14038</v>
      </c>
      <c r="G140" s="165">
        <v>12045</v>
      </c>
      <c r="H140" s="165">
        <v>14419</v>
      </c>
      <c r="I140" s="166">
        <f t="shared" si="46"/>
        <v>0.19709422997094239</v>
      </c>
      <c r="J140" s="165">
        <f t="shared" si="45"/>
        <v>2374</v>
      </c>
      <c r="K140" s="166">
        <f t="shared" si="47"/>
        <v>5.2688390502861884E-3</v>
      </c>
      <c r="L140" s="167"/>
    </row>
    <row r="141" spans="1:12" x14ac:dyDescent="0.25">
      <c r="A141" s="163"/>
      <c r="B141" s="164" t="s">
        <v>118</v>
      </c>
      <c r="C141" s="165">
        <v>0</v>
      </c>
      <c r="D141" s="165">
        <v>2242</v>
      </c>
      <c r="E141" s="165">
        <v>13362</v>
      </c>
      <c r="F141" s="165">
        <v>11816</v>
      </c>
      <c r="G141" s="165">
        <v>11749</v>
      </c>
      <c r="H141" s="165">
        <v>12238</v>
      </c>
      <c r="I141" s="166">
        <f t="shared" si="46"/>
        <v>4.1620563452208659E-2</v>
      </c>
      <c r="J141" s="165">
        <f t="shared" si="45"/>
        <v>489</v>
      </c>
      <c r="K141" s="166">
        <f t="shared" si="47"/>
        <v>4.4718810109856703E-3</v>
      </c>
      <c r="L141" s="81"/>
    </row>
    <row r="142" spans="1:12" x14ac:dyDescent="0.25">
      <c r="A142" s="163"/>
      <c r="B142" s="164" t="s">
        <v>125</v>
      </c>
      <c r="C142" s="165">
        <v>0</v>
      </c>
      <c r="D142" s="165">
        <v>425</v>
      </c>
      <c r="E142" s="165">
        <v>4085</v>
      </c>
      <c r="F142" s="165">
        <v>5430</v>
      </c>
      <c r="G142" s="165">
        <v>5221</v>
      </c>
      <c r="H142" s="165">
        <v>3653</v>
      </c>
      <c r="I142" s="166">
        <f t="shared" si="46"/>
        <v>-0.30032560812104958</v>
      </c>
      <c r="J142" s="165">
        <f t="shared" si="45"/>
        <v>-1568</v>
      </c>
      <c r="K142" s="166">
        <f t="shared" si="47"/>
        <v>1.3348407691723037E-3</v>
      </c>
      <c r="L142" s="81"/>
    </row>
    <row r="143" spans="1:12" x14ac:dyDescent="0.25">
      <c r="A143" s="163"/>
      <c r="B143" s="164" t="s">
        <v>121</v>
      </c>
      <c r="C143" s="165">
        <v>0</v>
      </c>
      <c r="D143" s="165">
        <v>585</v>
      </c>
      <c r="E143" s="165">
        <v>1664</v>
      </c>
      <c r="F143" s="165">
        <v>2826</v>
      </c>
      <c r="G143" s="165">
        <v>4328</v>
      </c>
      <c r="H143" s="165">
        <v>2367</v>
      </c>
      <c r="I143" s="166">
        <f t="shared" si="46"/>
        <v>-0.45309611829944552</v>
      </c>
      <c r="J143" s="165">
        <f t="shared" si="45"/>
        <v>-1961</v>
      </c>
      <c r="K143" s="166">
        <f t="shared" si="47"/>
        <v>8.6492419946094796E-4</v>
      </c>
      <c r="L143" s="81"/>
    </row>
    <row r="144" spans="1:12" x14ac:dyDescent="0.25">
      <c r="A144" s="163"/>
      <c r="B144" s="164" t="s">
        <v>130</v>
      </c>
      <c r="C144" s="165">
        <v>0</v>
      </c>
      <c r="D144" s="165">
        <v>20</v>
      </c>
      <c r="E144" s="165">
        <v>86</v>
      </c>
      <c r="F144" s="165">
        <v>6</v>
      </c>
      <c r="G144" s="165">
        <v>28</v>
      </c>
      <c r="H144" s="165">
        <v>136</v>
      </c>
      <c r="I144" s="166">
        <f t="shared" si="46"/>
        <v>3.8571428571428568</v>
      </c>
      <c r="J144" s="165">
        <f t="shared" si="45"/>
        <v>108</v>
      </c>
      <c r="K144" s="166">
        <f t="shared" si="47"/>
        <v>4.9695686999023625E-5</v>
      </c>
      <c r="L144" s="81"/>
    </row>
    <row r="145" spans="1:12" x14ac:dyDescent="0.25">
      <c r="A145" s="163" t="s">
        <v>146</v>
      </c>
      <c r="B145" s="164" t="s">
        <v>133</v>
      </c>
      <c r="C145" s="165">
        <v>0</v>
      </c>
      <c r="D145" s="165">
        <v>11</v>
      </c>
      <c r="E145" s="165">
        <v>46</v>
      </c>
      <c r="F145" s="165">
        <v>42</v>
      </c>
      <c r="G145" s="165">
        <v>24</v>
      </c>
      <c r="H145" s="165">
        <v>166</v>
      </c>
      <c r="I145" s="166">
        <f t="shared" si="46"/>
        <v>5.916666666666667</v>
      </c>
      <c r="J145" s="165">
        <f t="shared" si="45"/>
        <v>142</v>
      </c>
      <c r="K145" s="166">
        <f t="shared" si="47"/>
        <v>6.0657970895867072E-5</v>
      </c>
      <c r="L145" s="81"/>
    </row>
    <row r="146" spans="1:12" x14ac:dyDescent="0.25">
      <c r="A146" s="163" t="s">
        <v>147</v>
      </c>
      <c r="B146" s="169" t="s">
        <v>147</v>
      </c>
      <c r="C146" s="170">
        <f t="shared" ref="C146" si="48">C138-SUM(C139:C145)</f>
        <v>0</v>
      </c>
      <c r="D146" s="170">
        <f t="shared" ref="D146:H146" si="49">D138-SUM(D139:D145)</f>
        <v>5987</v>
      </c>
      <c r="E146" s="170">
        <f t="shared" si="49"/>
        <v>36898</v>
      </c>
      <c r="F146" s="170">
        <f t="shared" si="49"/>
        <v>36707</v>
      </c>
      <c r="G146" s="170">
        <f t="shared" si="49"/>
        <v>37162</v>
      </c>
      <c r="H146" s="170">
        <f t="shared" si="49"/>
        <v>37546</v>
      </c>
      <c r="I146" s="171">
        <f t="shared" si="46"/>
        <v>1.0333135999138987E-2</v>
      </c>
      <c r="J146" s="170">
        <f>H146-G146</f>
        <v>384</v>
      </c>
      <c r="K146" s="171">
        <f t="shared" si="47"/>
        <v>1.3719663706362802E-2</v>
      </c>
      <c r="L146" s="81"/>
    </row>
    <row r="147" spans="1:12" s="147" customFormat="1" x14ac:dyDescent="0.25">
      <c r="A147" s="163"/>
      <c r="B147" s="156" t="s">
        <v>55</v>
      </c>
      <c r="C147" s="154"/>
      <c r="D147" s="154"/>
      <c r="E147" s="154"/>
      <c r="F147" s="154"/>
      <c r="G147" s="154"/>
      <c r="H147" s="154"/>
      <c r="I147" s="154"/>
      <c r="J147" s="154"/>
      <c r="K147" s="154"/>
    </row>
    <row r="148" spans="1:12" x14ac:dyDescent="0.25">
      <c r="A148" s="163"/>
      <c r="B148" s="157" t="s">
        <v>70</v>
      </c>
      <c r="C148" s="177">
        <v>0</v>
      </c>
      <c r="D148" s="177">
        <v>17642</v>
      </c>
      <c r="E148" s="177">
        <v>48121</v>
      </c>
      <c r="F148" s="177">
        <v>57419</v>
      </c>
      <c r="G148" s="177">
        <v>56629</v>
      </c>
      <c r="H148" s="177">
        <v>52635</v>
      </c>
      <c r="I148" s="178">
        <f>IFERROR(H148/G148-1,"-")</f>
        <v>-7.0529234137985841E-2</v>
      </c>
      <c r="J148" s="177">
        <f>H148-G148</f>
        <v>-3994</v>
      </c>
      <c r="K148" s="178">
        <f>H148/H$8</f>
        <v>1.9233327097011827E-2</v>
      </c>
      <c r="L148" s="81"/>
    </row>
    <row r="149" spans="1:12" x14ac:dyDescent="0.25">
      <c r="A149" s="163" t="s">
        <v>98</v>
      </c>
      <c r="B149" s="160" t="s">
        <v>99</v>
      </c>
      <c r="C149" s="161">
        <v>0</v>
      </c>
      <c r="D149" s="161">
        <v>10241</v>
      </c>
      <c r="E149" s="161">
        <v>27350</v>
      </c>
      <c r="F149" s="161">
        <v>28926</v>
      </c>
      <c r="G149" s="161">
        <v>31174</v>
      </c>
      <c r="H149" s="161">
        <v>25696</v>
      </c>
      <c r="I149" s="162">
        <f>IFERROR(H149/G149-1,"-")</f>
        <v>-0.1757233592095977</v>
      </c>
      <c r="J149" s="161">
        <f t="shared" ref="J149:J159" si="50">H149-G149</f>
        <v>-5478</v>
      </c>
      <c r="K149" s="162">
        <f>H149/H$8</f>
        <v>9.3895615671096399E-3</v>
      </c>
      <c r="L149" s="81"/>
    </row>
    <row r="150" spans="1:12" x14ac:dyDescent="0.25">
      <c r="A150" s="163" t="s">
        <v>105</v>
      </c>
      <c r="B150" s="164" t="s">
        <v>105</v>
      </c>
      <c r="C150" s="165">
        <v>0</v>
      </c>
      <c r="D150" s="165">
        <v>7754</v>
      </c>
      <c r="E150" s="165">
        <v>14534</v>
      </c>
      <c r="F150" s="165">
        <v>16854</v>
      </c>
      <c r="G150" s="165">
        <v>18994</v>
      </c>
      <c r="H150" s="165">
        <v>12504</v>
      </c>
      <c r="I150" s="166">
        <f>IFERROR(H150/G150-1,"-")</f>
        <v>-0.34168684847846686</v>
      </c>
      <c r="J150" s="165">
        <f t="shared" si="50"/>
        <v>-6490</v>
      </c>
      <c r="K150" s="166">
        <f>H150/H$8</f>
        <v>4.5690799282043486E-3</v>
      </c>
      <c r="L150" s="81"/>
    </row>
    <row r="151" spans="1:12" x14ac:dyDescent="0.25">
      <c r="A151" s="163" t="s">
        <v>102</v>
      </c>
      <c r="B151" s="164" t="s">
        <v>102</v>
      </c>
      <c r="C151" s="165">
        <v>0</v>
      </c>
      <c r="D151" s="165">
        <v>2487</v>
      </c>
      <c r="E151" s="165">
        <v>12816</v>
      </c>
      <c r="F151" s="165">
        <v>12072</v>
      </c>
      <c r="G151" s="165">
        <v>12180</v>
      </c>
      <c r="H151" s="165">
        <v>13192</v>
      </c>
      <c r="I151" s="166">
        <f>IFERROR(H151/G151-1,"-")</f>
        <v>8.3087027914614087E-2</v>
      </c>
      <c r="J151" s="165">
        <f t="shared" si="50"/>
        <v>1012</v>
      </c>
      <c r="K151" s="166">
        <f>H151/H$8</f>
        <v>4.8204816389052921E-3</v>
      </c>
      <c r="L151" s="81"/>
    </row>
    <row r="152" spans="1:12" x14ac:dyDescent="0.25">
      <c r="A152" s="163"/>
      <c r="B152" s="160" t="s">
        <v>109</v>
      </c>
      <c r="C152" s="161">
        <v>0</v>
      </c>
      <c r="D152" s="161">
        <v>7401</v>
      </c>
      <c r="E152" s="161">
        <v>20771</v>
      </c>
      <c r="F152" s="161">
        <v>28493</v>
      </c>
      <c r="G152" s="161">
        <v>25455</v>
      </c>
      <c r="H152" s="161">
        <v>26939</v>
      </c>
      <c r="I152" s="162">
        <f>IFERROR(H152/G152-1,"-")</f>
        <v>5.8298958947161639E-2</v>
      </c>
      <c r="J152" s="161">
        <f t="shared" si="50"/>
        <v>1484</v>
      </c>
      <c r="K152" s="162">
        <f>H152/H$8</f>
        <v>9.8437655299021872E-3</v>
      </c>
      <c r="L152" s="81"/>
    </row>
    <row r="153" spans="1:12" s="57" customFormat="1" x14ac:dyDescent="0.25">
      <c r="A153" s="163"/>
      <c r="B153" s="164" t="s">
        <v>112</v>
      </c>
      <c r="C153" s="165">
        <v>0</v>
      </c>
      <c r="D153" s="165">
        <v>206</v>
      </c>
      <c r="E153" s="165">
        <v>8256</v>
      </c>
      <c r="F153" s="165">
        <v>11774</v>
      </c>
      <c r="G153" s="165">
        <v>11470</v>
      </c>
      <c r="H153" s="165">
        <v>6995</v>
      </c>
      <c r="I153" s="166">
        <f t="shared" ref="I153:I160" si="51">IFERROR(H153/G153-1,"-")</f>
        <v>-0.39014821272885791</v>
      </c>
      <c r="J153" s="165">
        <f t="shared" si="50"/>
        <v>-4475</v>
      </c>
      <c r="K153" s="166">
        <f t="shared" ref="K153:K160" si="52">H153/H$8</f>
        <v>2.5560391952806636E-3</v>
      </c>
      <c r="L153" s="167"/>
    </row>
    <row r="154" spans="1:12" s="57" customFormat="1" x14ac:dyDescent="0.25">
      <c r="A154" s="163"/>
      <c r="B154" s="164" t="s">
        <v>115</v>
      </c>
      <c r="C154" s="165">
        <v>0</v>
      </c>
      <c r="D154" s="165">
        <v>2021</v>
      </c>
      <c r="E154" s="165">
        <v>5899</v>
      </c>
      <c r="F154" s="165">
        <v>4639</v>
      </c>
      <c r="G154" s="165">
        <v>4070</v>
      </c>
      <c r="H154" s="165">
        <v>3952</v>
      </c>
      <c r="I154" s="166">
        <f t="shared" si="51"/>
        <v>-2.8992628992628999E-2</v>
      </c>
      <c r="J154" s="165">
        <f t="shared" si="50"/>
        <v>-118</v>
      </c>
      <c r="K154" s="166">
        <f t="shared" si="52"/>
        <v>1.44409819867751E-3</v>
      </c>
      <c r="L154" s="167"/>
    </row>
    <row r="155" spans="1:12" x14ac:dyDescent="0.25">
      <c r="A155" s="163"/>
      <c r="B155" s="164" t="s">
        <v>118</v>
      </c>
      <c r="C155" s="165">
        <v>0</v>
      </c>
      <c r="D155" s="165">
        <v>2196</v>
      </c>
      <c r="E155" s="165">
        <v>1855</v>
      </c>
      <c r="F155" s="165">
        <v>4999</v>
      </c>
      <c r="G155" s="165">
        <v>3126</v>
      </c>
      <c r="H155" s="165">
        <v>10778</v>
      </c>
      <c r="I155" s="166">
        <f t="shared" si="51"/>
        <v>2.4478566858605246</v>
      </c>
      <c r="J155" s="165">
        <f t="shared" si="50"/>
        <v>7652</v>
      </c>
      <c r="K155" s="166">
        <f t="shared" si="52"/>
        <v>3.9383831946726219E-3</v>
      </c>
      <c r="L155" s="81"/>
    </row>
    <row r="156" spans="1:12" x14ac:dyDescent="0.25">
      <c r="A156" s="163"/>
      <c r="B156" s="164" t="s">
        <v>125</v>
      </c>
      <c r="C156" s="165">
        <v>0</v>
      </c>
      <c r="D156" s="165">
        <v>206</v>
      </c>
      <c r="E156" s="165">
        <v>411</v>
      </c>
      <c r="F156" s="165">
        <v>839</v>
      </c>
      <c r="G156" s="165">
        <v>848</v>
      </c>
      <c r="H156" s="165">
        <v>622</v>
      </c>
      <c r="I156" s="166">
        <f t="shared" si="51"/>
        <v>-0.26650943396226412</v>
      </c>
      <c r="J156" s="165">
        <f t="shared" si="50"/>
        <v>-226</v>
      </c>
      <c r="K156" s="166">
        <f t="shared" si="52"/>
        <v>2.2728468612788746E-4</v>
      </c>
      <c r="L156" s="81"/>
    </row>
    <row r="157" spans="1:12" x14ac:dyDescent="0.25">
      <c r="A157" s="163"/>
      <c r="B157" s="164" t="s">
        <v>121</v>
      </c>
      <c r="C157" s="165">
        <v>0</v>
      </c>
      <c r="D157" s="165">
        <v>410</v>
      </c>
      <c r="E157" s="165">
        <v>1866</v>
      </c>
      <c r="F157" s="165">
        <v>1686</v>
      </c>
      <c r="G157" s="165">
        <v>1218</v>
      </c>
      <c r="H157" s="165">
        <v>773</v>
      </c>
      <c r="I157" s="166">
        <f t="shared" si="51"/>
        <v>-0.36535303776683092</v>
      </c>
      <c r="J157" s="165">
        <f t="shared" si="50"/>
        <v>-445</v>
      </c>
      <c r="K157" s="166">
        <f t="shared" si="52"/>
        <v>2.8246151507533283E-4</v>
      </c>
      <c r="L157" s="81"/>
    </row>
    <row r="158" spans="1:12" x14ac:dyDescent="0.25">
      <c r="A158" s="163"/>
      <c r="B158" s="164" t="s">
        <v>130</v>
      </c>
      <c r="C158" s="165">
        <v>0</v>
      </c>
      <c r="D158" s="165">
        <v>4</v>
      </c>
      <c r="E158" s="165">
        <v>26</v>
      </c>
      <c r="F158" s="165">
        <v>90</v>
      </c>
      <c r="G158" s="165">
        <v>14</v>
      </c>
      <c r="H158" s="165">
        <v>10</v>
      </c>
      <c r="I158" s="166">
        <f t="shared" si="51"/>
        <v>-0.2857142857142857</v>
      </c>
      <c r="J158" s="165">
        <f t="shared" si="50"/>
        <v>-4</v>
      </c>
      <c r="K158" s="166">
        <f t="shared" si="52"/>
        <v>3.6540946322811488E-6</v>
      </c>
      <c r="L158" s="81"/>
    </row>
    <row r="159" spans="1:12" x14ac:dyDescent="0.25">
      <c r="A159" s="163" t="s">
        <v>146</v>
      </c>
      <c r="B159" s="164" t="s">
        <v>133</v>
      </c>
      <c r="C159" s="165">
        <v>0</v>
      </c>
      <c r="D159" s="165">
        <v>11</v>
      </c>
      <c r="E159" s="165">
        <v>57</v>
      </c>
      <c r="F159" s="165">
        <v>21</v>
      </c>
      <c r="G159" s="165">
        <v>9</v>
      </c>
      <c r="H159" s="165">
        <v>18</v>
      </c>
      <c r="I159" s="166">
        <f t="shared" si="51"/>
        <v>1</v>
      </c>
      <c r="J159" s="165">
        <f t="shared" si="50"/>
        <v>9</v>
      </c>
      <c r="K159" s="166">
        <f t="shared" si="52"/>
        <v>6.5773703381060685E-6</v>
      </c>
      <c r="L159" s="81"/>
    </row>
    <row r="160" spans="1:12" x14ac:dyDescent="0.25">
      <c r="A160" s="163" t="s">
        <v>147</v>
      </c>
      <c r="B160" s="169" t="s">
        <v>147</v>
      </c>
      <c r="C160" s="170">
        <f t="shared" ref="C160" si="53">C152-SUM(C153:C159)</f>
        <v>0</v>
      </c>
      <c r="D160" s="170">
        <f t="shared" ref="D160:H160" si="54">D152-SUM(D153:D159)</f>
        <v>2347</v>
      </c>
      <c r="E160" s="170">
        <f t="shared" si="54"/>
        <v>2401</v>
      </c>
      <c r="F160" s="170">
        <f t="shared" si="54"/>
        <v>4445</v>
      </c>
      <c r="G160" s="170">
        <f t="shared" si="54"/>
        <v>4700</v>
      </c>
      <c r="H160" s="170">
        <f t="shared" si="54"/>
        <v>3791</v>
      </c>
      <c r="I160" s="171">
        <f t="shared" si="51"/>
        <v>-0.19340425531914895</v>
      </c>
      <c r="J160" s="170">
        <f>H160-G160</f>
        <v>-909</v>
      </c>
      <c r="K160" s="171">
        <f t="shared" si="52"/>
        <v>1.3852672750977837E-3</v>
      </c>
      <c r="L160" s="81"/>
    </row>
    <row r="161" spans="1:14" ht="6" customHeight="1" x14ac:dyDescent="0.25">
      <c r="A161" s="163"/>
      <c r="B161" s="172"/>
      <c r="C161" s="172"/>
      <c r="D161" s="172"/>
      <c r="E161" s="172"/>
      <c r="F161" s="172"/>
      <c r="G161" s="172"/>
      <c r="H161" s="172"/>
      <c r="I161" s="172"/>
      <c r="J161" s="172"/>
      <c r="K161" s="172"/>
      <c r="L161" s="172"/>
      <c r="M161" s="172"/>
      <c r="N161" s="172"/>
    </row>
    <row r="162" spans="1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1">
    <mergeCell ref="B4:K4"/>
  </mergeCells>
  <pageMargins left="0.25" right="0.25" top="0.75" bottom="0.75" header="0.3" footer="0.3"/>
  <pageSetup paperSize="9" scale="20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F577E5-B62A-4271-A82C-2A80724ED560}">
  <sheetPr>
    <tabColor rgb="FFF29140"/>
    <pageSetUpPr fitToPage="1"/>
  </sheetPr>
  <dimension ref="A1:N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</cols>
  <sheetData>
    <row r="1" spans="1:12" ht="42.75" customHeight="1" x14ac:dyDescent="0.25"/>
    <row r="3" spans="1:12" ht="42" customHeight="1" thickBot="1" x14ac:dyDescent="0.3">
      <c r="B3" s="278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3" s="278"/>
      <c r="D3" s="278"/>
      <c r="E3" s="278"/>
      <c r="F3" s="278"/>
      <c r="G3" s="278"/>
      <c r="H3" s="278"/>
      <c r="I3" s="278"/>
      <c r="J3" s="278"/>
      <c r="K3" s="278"/>
    </row>
    <row r="4" spans="1:12" ht="6" customHeight="1" x14ac:dyDescent="0.25"/>
    <row r="5" spans="1:12" ht="15.75" x14ac:dyDescent="0.25">
      <c r="B5" s="146"/>
      <c r="C5" s="311" t="s">
        <v>45</v>
      </c>
      <c r="D5" s="312"/>
      <c r="E5" s="312"/>
      <c r="F5" s="312"/>
      <c r="G5" s="312"/>
      <c r="H5" s="312"/>
      <c r="I5" s="312"/>
      <c r="J5" s="312"/>
      <c r="K5" s="312"/>
    </row>
    <row r="6" spans="1:12" s="147" customFormat="1" ht="72" customHeight="1" x14ac:dyDescent="0.25">
      <c r="B6" s="148"/>
      <c r="C6" s="173" t="s">
        <v>259</v>
      </c>
      <c r="D6" s="173" t="s">
        <v>260</v>
      </c>
      <c r="E6" s="173" t="s">
        <v>261</v>
      </c>
      <c r="F6" s="173" t="s">
        <v>262</v>
      </c>
      <c r="G6" s="173" t="s">
        <v>263</v>
      </c>
      <c r="H6" s="173" t="s">
        <v>264</v>
      </c>
      <c r="I6" s="174" t="str">
        <f>CONCATENATE("var. ",RIGHT(H6,2),"/",RIGHT(G6,2))</f>
        <v>var. 25/24</v>
      </c>
      <c r="J6" s="173" t="str">
        <f>CONCATENATE("dif. ",RIGHT(H6,2),"/",RIGHT(G6,2))</f>
        <v>dif. 25/24</v>
      </c>
      <c r="K6" s="174" t="str">
        <f>CONCATENATE("Cuota s/ total lugares de residencia ",RIGHT(H6,4))</f>
        <v>Cuota s/ total lugares de residencia 2025</v>
      </c>
    </row>
    <row r="7" spans="1:12" s="147" customFormat="1" x14ac:dyDescent="0.25">
      <c r="B7" s="153" t="s">
        <v>45</v>
      </c>
      <c r="C7" s="154"/>
      <c r="D7" s="154"/>
      <c r="E7" s="154"/>
      <c r="F7" s="154"/>
      <c r="G7" s="154"/>
      <c r="H7" s="154"/>
      <c r="I7" s="154"/>
      <c r="J7" s="154"/>
      <c r="K7" s="154"/>
    </row>
    <row r="8" spans="1:12" x14ac:dyDescent="0.25">
      <c r="A8" s="1"/>
      <c r="B8" s="157" t="s">
        <v>70</v>
      </c>
      <c r="C8" s="177">
        <v>7213069</v>
      </c>
      <c r="D8" s="177">
        <v>2368548</v>
      </c>
      <c r="E8" s="177">
        <v>14358521</v>
      </c>
      <c r="F8" s="177">
        <v>16459932</v>
      </c>
      <c r="G8" s="177">
        <v>17554900</v>
      </c>
      <c r="H8" s="177">
        <v>16983898</v>
      </c>
      <c r="I8" s="178">
        <f>IFERROR(H8/G8-1,"-")</f>
        <v>-3.2526644982312614E-2</v>
      </c>
      <c r="J8" s="177">
        <f>H8-G8</f>
        <v>-571002</v>
      </c>
      <c r="K8" s="178">
        <f>H8/H$8</f>
        <v>1</v>
      </c>
      <c r="L8" s="81"/>
    </row>
    <row r="9" spans="1:12" x14ac:dyDescent="0.25">
      <c r="A9" s="1" t="s">
        <v>98</v>
      </c>
      <c r="B9" s="160" t="s">
        <v>99</v>
      </c>
      <c r="C9" s="161">
        <v>635952</v>
      </c>
      <c r="D9" s="161">
        <v>753096</v>
      </c>
      <c r="E9" s="161">
        <v>1755026</v>
      </c>
      <c r="F9" s="161">
        <v>1899221</v>
      </c>
      <c r="G9" s="161">
        <v>1879401</v>
      </c>
      <c r="H9" s="161">
        <v>1820886</v>
      </c>
      <c r="I9" s="162">
        <f>IFERROR(H9/G9-1,"-")</f>
        <v>-3.1134920115504894E-2</v>
      </c>
      <c r="J9" s="161">
        <f t="shared" ref="J9:J19" si="0">H9-G9</f>
        <v>-58515</v>
      </c>
      <c r="K9" s="162">
        <f>H9/H$8</f>
        <v>0.10721249032465928</v>
      </c>
      <c r="L9" s="81"/>
    </row>
    <row r="10" spans="1:12" x14ac:dyDescent="0.25">
      <c r="A10" s="163" t="s">
        <v>105</v>
      </c>
      <c r="B10" s="164" t="s">
        <v>105</v>
      </c>
      <c r="C10" s="165">
        <v>160644</v>
      </c>
      <c r="D10" s="165">
        <v>424682</v>
      </c>
      <c r="E10" s="165">
        <v>504192</v>
      </c>
      <c r="F10" s="165">
        <v>576863</v>
      </c>
      <c r="G10" s="165">
        <v>597150</v>
      </c>
      <c r="H10" s="165">
        <v>504286</v>
      </c>
      <c r="I10" s="166">
        <f>IFERROR(H10/G10-1,"-")</f>
        <v>-0.15551201540651427</v>
      </c>
      <c r="J10" s="165">
        <f t="shared" si="0"/>
        <v>-92864</v>
      </c>
      <c r="K10" s="166">
        <f>H10/H$8</f>
        <v>2.969200592231536E-2</v>
      </c>
      <c r="L10" s="81"/>
    </row>
    <row r="11" spans="1:12" x14ac:dyDescent="0.25">
      <c r="A11" s="163" t="s">
        <v>102</v>
      </c>
      <c r="B11" s="164" t="s">
        <v>102</v>
      </c>
      <c r="C11" s="165">
        <v>475308</v>
      </c>
      <c r="D11" s="165">
        <v>328414</v>
      </c>
      <c r="E11" s="165">
        <v>1250834</v>
      </c>
      <c r="F11" s="165">
        <v>1322358</v>
      </c>
      <c r="G11" s="165">
        <v>1282251</v>
      </c>
      <c r="H11" s="165">
        <v>1316600</v>
      </c>
      <c r="I11" s="166">
        <f>IFERROR(H11/G11-1,"-")</f>
        <v>2.678804695804482E-2</v>
      </c>
      <c r="J11" s="165">
        <f t="shared" si="0"/>
        <v>34349</v>
      </c>
      <c r="K11" s="166">
        <f>H11/H$8</f>
        <v>7.7520484402343909E-2</v>
      </c>
      <c r="L11" s="81"/>
    </row>
    <row r="12" spans="1:12" x14ac:dyDescent="0.25">
      <c r="A12" s="1"/>
      <c r="B12" s="160" t="s">
        <v>109</v>
      </c>
      <c r="C12" s="161">
        <v>6577117</v>
      </c>
      <c r="D12" s="161">
        <v>1615452</v>
      </c>
      <c r="E12" s="161">
        <v>12603495</v>
      </c>
      <c r="F12" s="161">
        <v>14560711</v>
      </c>
      <c r="G12" s="161">
        <v>15675499</v>
      </c>
      <c r="H12" s="161">
        <v>15163012</v>
      </c>
      <c r="I12" s="162">
        <f>IFERROR(H12/G12-1,"-")</f>
        <v>-3.269350468524157E-2</v>
      </c>
      <c r="J12" s="161">
        <f t="shared" si="0"/>
        <v>-512487</v>
      </c>
      <c r="K12" s="162">
        <f>H12/H$8</f>
        <v>0.89278750967534071</v>
      </c>
      <c r="L12" s="81"/>
    </row>
    <row r="13" spans="1:12" s="57" customFormat="1" x14ac:dyDescent="0.25">
      <c r="A13" s="163"/>
      <c r="B13" s="164" t="s">
        <v>112</v>
      </c>
      <c r="C13" s="165">
        <v>2637397</v>
      </c>
      <c r="D13" s="165">
        <v>123063</v>
      </c>
      <c r="E13" s="165">
        <v>5625002</v>
      </c>
      <c r="F13" s="165">
        <v>6422185</v>
      </c>
      <c r="G13" s="165">
        <v>6978702</v>
      </c>
      <c r="H13" s="165">
        <v>6814372</v>
      </c>
      <c r="I13" s="166">
        <f t="shared" ref="I13:I20" si="1">IFERROR(H13/G13-1,"-")</f>
        <v>-2.3547358806838337E-2</v>
      </c>
      <c r="J13" s="165">
        <f t="shared" si="0"/>
        <v>-164330</v>
      </c>
      <c r="K13" s="166">
        <f t="shared" ref="K13:K20" si="2">H13/H$8</f>
        <v>0.40122544306377722</v>
      </c>
      <c r="L13" s="167"/>
    </row>
    <row r="14" spans="1:12" s="57" customFormat="1" x14ac:dyDescent="0.25">
      <c r="A14" s="163"/>
      <c r="B14" s="164" t="s">
        <v>115</v>
      </c>
      <c r="C14" s="165">
        <v>984001</v>
      </c>
      <c r="D14" s="165">
        <v>284057</v>
      </c>
      <c r="E14" s="165">
        <v>1508875</v>
      </c>
      <c r="F14" s="165">
        <v>1798043</v>
      </c>
      <c r="G14" s="165">
        <v>1923711</v>
      </c>
      <c r="H14" s="165">
        <v>1819538</v>
      </c>
      <c r="I14" s="166">
        <f t="shared" si="1"/>
        <v>-5.4152104967949977E-2</v>
      </c>
      <c r="J14" s="165">
        <f t="shared" si="0"/>
        <v>-104173</v>
      </c>
      <c r="K14" s="166">
        <f t="shared" si="2"/>
        <v>0.10713312103028409</v>
      </c>
      <c r="L14" s="167"/>
    </row>
    <row r="15" spans="1:12" x14ac:dyDescent="0.25">
      <c r="A15" s="163"/>
      <c r="B15" s="164" t="s">
        <v>118</v>
      </c>
      <c r="C15" s="165">
        <v>257553</v>
      </c>
      <c r="D15" s="165">
        <v>249859</v>
      </c>
      <c r="E15" s="165">
        <v>599710</v>
      </c>
      <c r="F15" s="165">
        <v>735409</v>
      </c>
      <c r="G15" s="165">
        <v>803310</v>
      </c>
      <c r="H15" s="165">
        <v>751344</v>
      </c>
      <c r="I15" s="166">
        <f t="shared" si="1"/>
        <v>-6.4689845763154952E-2</v>
      </c>
      <c r="J15" s="165">
        <f t="shared" si="0"/>
        <v>-51966</v>
      </c>
      <c r="K15" s="166">
        <f t="shared" si="2"/>
        <v>4.4238607650611182E-2</v>
      </c>
      <c r="L15" s="81"/>
    </row>
    <row r="16" spans="1:12" x14ac:dyDescent="0.25">
      <c r="A16" s="163"/>
      <c r="B16" s="164" t="s">
        <v>125</v>
      </c>
      <c r="C16" s="165">
        <v>215644</v>
      </c>
      <c r="D16" s="165">
        <v>66617</v>
      </c>
      <c r="E16" s="165">
        <v>631180</v>
      </c>
      <c r="F16" s="165">
        <v>592295</v>
      </c>
      <c r="G16" s="165">
        <v>644516</v>
      </c>
      <c r="H16" s="165">
        <v>593115</v>
      </c>
      <c r="I16" s="166">
        <f t="shared" si="1"/>
        <v>-7.975131726753093E-2</v>
      </c>
      <c r="J16" s="165">
        <f t="shared" si="0"/>
        <v>-51401</v>
      </c>
      <c r="K16" s="166">
        <f t="shared" si="2"/>
        <v>3.4922195128585909E-2</v>
      </c>
      <c r="L16" s="81"/>
    </row>
    <row r="17" spans="1:12" x14ac:dyDescent="0.25">
      <c r="A17" s="163"/>
      <c r="B17" s="164" t="s">
        <v>121</v>
      </c>
      <c r="C17" s="165">
        <v>250889</v>
      </c>
      <c r="D17" s="165">
        <v>106688</v>
      </c>
      <c r="E17" s="165">
        <v>545121</v>
      </c>
      <c r="F17" s="165">
        <v>540701</v>
      </c>
      <c r="G17" s="165">
        <v>576082</v>
      </c>
      <c r="H17" s="165">
        <v>527185</v>
      </c>
      <c r="I17" s="166">
        <f t="shared" si="1"/>
        <v>-8.4878541596508872E-2</v>
      </c>
      <c r="J17" s="165">
        <f t="shared" si="0"/>
        <v>-48897</v>
      </c>
      <c r="K17" s="166">
        <f t="shared" si="2"/>
        <v>3.1040282978618924E-2</v>
      </c>
      <c r="L17" s="81"/>
    </row>
    <row r="18" spans="1:12" x14ac:dyDescent="0.25">
      <c r="A18" s="163"/>
      <c r="B18" s="164" t="s">
        <v>130</v>
      </c>
      <c r="C18" s="165">
        <v>239007</v>
      </c>
      <c r="D18" s="165">
        <v>4033</v>
      </c>
      <c r="E18" s="165">
        <v>263411</v>
      </c>
      <c r="F18" s="165">
        <v>333863</v>
      </c>
      <c r="G18" s="165">
        <v>312478</v>
      </c>
      <c r="H18" s="165">
        <v>303207</v>
      </c>
      <c r="I18" s="166">
        <f t="shared" si="1"/>
        <v>-2.9669288717925735E-2</v>
      </c>
      <c r="J18" s="165">
        <f t="shared" si="0"/>
        <v>-9271</v>
      </c>
      <c r="K18" s="166">
        <f t="shared" si="2"/>
        <v>1.7852615459654785E-2</v>
      </c>
      <c r="L18" s="81"/>
    </row>
    <row r="19" spans="1:12" x14ac:dyDescent="0.25">
      <c r="A19" s="163" t="s">
        <v>146</v>
      </c>
      <c r="B19" s="164" t="s">
        <v>133</v>
      </c>
      <c r="C19" s="165">
        <v>338231</v>
      </c>
      <c r="D19" s="165">
        <v>21344</v>
      </c>
      <c r="E19" s="165">
        <v>207192</v>
      </c>
      <c r="F19" s="165">
        <v>303795</v>
      </c>
      <c r="G19" s="165">
        <v>324486</v>
      </c>
      <c r="H19" s="165">
        <v>276550</v>
      </c>
      <c r="I19" s="166">
        <f t="shared" si="1"/>
        <v>-0.14772902374832808</v>
      </c>
      <c r="J19" s="165">
        <f t="shared" si="0"/>
        <v>-47936</v>
      </c>
      <c r="K19" s="166">
        <f t="shared" si="2"/>
        <v>1.6283069999596087E-2</v>
      </c>
      <c r="L19" s="81"/>
    </row>
    <row r="20" spans="1:12" x14ac:dyDescent="0.25">
      <c r="A20" s="163" t="s">
        <v>147</v>
      </c>
      <c r="B20" s="169" t="s">
        <v>147</v>
      </c>
      <c r="C20" s="170">
        <f t="shared" ref="C20" si="3">C12-SUM(C13:C19)</f>
        <v>1654395</v>
      </c>
      <c r="D20" s="170">
        <f t="shared" ref="D20:H20" si="4">D12-SUM(D13:D19)</f>
        <v>759791</v>
      </c>
      <c r="E20" s="170">
        <f t="shared" si="4"/>
        <v>3223004</v>
      </c>
      <c r="F20" s="170">
        <f t="shared" si="4"/>
        <v>3834420</v>
      </c>
      <c r="G20" s="170">
        <f t="shared" si="4"/>
        <v>4112214</v>
      </c>
      <c r="H20" s="170">
        <f t="shared" si="4"/>
        <v>4077701</v>
      </c>
      <c r="I20" s="171">
        <f t="shared" si="1"/>
        <v>-8.3928025146551288E-3</v>
      </c>
      <c r="J20" s="170">
        <f>H20-G20</f>
        <v>-34513</v>
      </c>
      <c r="K20" s="171">
        <f t="shared" si="2"/>
        <v>0.24009217436421251</v>
      </c>
      <c r="L20" s="81"/>
    </row>
    <row r="21" spans="1:12" s="147" customFormat="1" x14ac:dyDescent="0.25">
      <c r="A21" s="163"/>
      <c r="B21" s="156" t="s">
        <v>46</v>
      </c>
      <c r="C21" s="154"/>
      <c r="D21" s="154"/>
      <c r="E21" s="154"/>
      <c r="F21" s="154"/>
      <c r="G21" s="154"/>
      <c r="H21" s="154"/>
      <c r="I21" s="154"/>
      <c r="J21" s="154"/>
      <c r="K21" s="154"/>
    </row>
    <row r="22" spans="1:12" x14ac:dyDescent="0.25">
      <c r="A22" s="163"/>
      <c r="B22" s="157" t="s">
        <v>70</v>
      </c>
      <c r="C22" s="177">
        <v>2766306</v>
      </c>
      <c r="D22" s="177">
        <v>942171</v>
      </c>
      <c r="E22" s="177">
        <v>5898536</v>
      </c>
      <c r="F22" s="177">
        <v>6497274</v>
      </c>
      <c r="G22" s="177">
        <v>6720449</v>
      </c>
      <c r="H22" s="177">
        <v>6373385</v>
      </c>
      <c r="I22" s="178">
        <f>IFERROR(H22/G22-1,"-")</f>
        <v>-5.1642978021260166E-2</v>
      </c>
      <c r="J22" s="177">
        <f>H22-G22</f>
        <v>-347064</v>
      </c>
      <c r="K22" s="178">
        <f>H22/H$8</f>
        <v>0.37526043785708085</v>
      </c>
      <c r="L22" s="81"/>
    </row>
    <row r="23" spans="1:12" x14ac:dyDescent="0.25">
      <c r="A23" s="163" t="s">
        <v>98</v>
      </c>
      <c r="B23" s="160" t="s">
        <v>99</v>
      </c>
      <c r="C23" s="161">
        <v>95533</v>
      </c>
      <c r="D23" s="161">
        <v>272132</v>
      </c>
      <c r="E23" s="161">
        <v>359578</v>
      </c>
      <c r="F23" s="161">
        <v>335748</v>
      </c>
      <c r="G23" s="161">
        <v>301115</v>
      </c>
      <c r="H23" s="161">
        <v>259573</v>
      </c>
      <c r="I23" s="162">
        <f>IFERROR(H23/G23-1,"-")</f>
        <v>-0.13796057984490973</v>
      </c>
      <c r="J23" s="161">
        <f t="shared" ref="J23:J33" si="5">H23-G23</f>
        <v>-41542</v>
      </c>
      <c r="K23" s="162">
        <f>H23/H$8</f>
        <v>1.5283476148997126E-2</v>
      </c>
      <c r="L23" s="81"/>
    </row>
    <row r="24" spans="1:12" x14ac:dyDescent="0.25">
      <c r="A24" s="163" t="s">
        <v>105</v>
      </c>
      <c r="B24" s="164" t="s">
        <v>105</v>
      </c>
      <c r="C24" s="165">
        <v>36093</v>
      </c>
      <c r="D24" s="165">
        <v>140083</v>
      </c>
      <c r="E24" s="165">
        <v>116432</v>
      </c>
      <c r="F24" s="165">
        <v>112273</v>
      </c>
      <c r="G24" s="165">
        <v>95168</v>
      </c>
      <c r="H24" s="165">
        <v>80646</v>
      </c>
      <c r="I24" s="166">
        <f>IFERROR(H24/G24-1,"-")</f>
        <v>-0.15259330867518495</v>
      </c>
      <c r="J24" s="165">
        <f t="shared" si="5"/>
        <v>-14522</v>
      </c>
      <c r="K24" s="166">
        <f>H24/H$8</f>
        <v>4.7483799066621807E-3</v>
      </c>
      <c r="L24" s="81"/>
    </row>
    <row r="25" spans="1:12" x14ac:dyDescent="0.25">
      <c r="A25" s="163" t="s">
        <v>102</v>
      </c>
      <c r="B25" s="164" t="s">
        <v>102</v>
      </c>
      <c r="C25" s="165">
        <v>59440</v>
      </c>
      <c r="D25" s="165">
        <v>132049</v>
      </c>
      <c r="E25" s="165">
        <v>243146</v>
      </c>
      <c r="F25" s="165">
        <v>223475</v>
      </c>
      <c r="G25" s="165">
        <v>205947</v>
      </c>
      <c r="H25" s="165">
        <v>178927</v>
      </c>
      <c r="I25" s="166">
        <f>IFERROR(H25/G25-1,"-")</f>
        <v>-0.13119880357567726</v>
      </c>
      <c r="J25" s="165">
        <f t="shared" si="5"/>
        <v>-27020</v>
      </c>
      <c r="K25" s="166">
        <f>H25/H$8</f>
        <v>1.0535096242334946E-2</v>
      </c>
      <c r="L25" s="81"/>
    </row>
    <row r="26" spans="1:12" x14ac:dyDescent="0.25">
      <c r="A26" s="163"/>
      <c r="B26" s="160" t="s">
        <v>109</v>
      </c>
      <c r="C26" s="161">
        <v>2670773</v>
      </c>
      <c r="D26" s="161">
        <v>670039</v>
      </c>
      <c r="E26" s="161">
        <v>5538958</v>
      </c>
      <c r="F26" s="161">
        <v>6161526</v>
      </c>
      <c r="G26" s="161">
        <v>6419334</v>
      </c>
      <c r="H26" s="161">
        <v>6113812</v>
      </c>
      <c r="I26" s="162">
        <f>IFERROR(H26/G26-1,"-")</f>
        <v>-4.7594033898220589E-2</v>
      </c>
      <c r="J26" s="161">
        <f t="shared" si="5"/>
        <v>-305522</v>
      </c>
      <c r="K26" s="162">
        <f>H26/H$8</f>
        <v>0.35997696170808374</v>
      </c>
      <c r="L26" s="81"/>
    </row>
    <row r="27" spans="1:12" s="57" customFormat="1" x14ac:dyDescent="0.25">
      <c r="A27" s="163"/>
      <c r="B27" s="164" t="s">
        <v>112</v>
      </c>
      <c r="C27" s="165">
        <v>1178371</v>
      </c>
      <c r="D27" s="165">
        <v>41502</v>
      </c>
      <c r="E27" s="165">
        <v>2657629</v>
      </c>
      <c r="F27" s="165">
        <v>3037228</v>
      </c>
      <c r="G27" s="165">
        <v>3192749</v>
      </c>
      <c r="H27" s="165">
        <v>3086870</v>
      </c>
      <c r="I27" s="166">
        <f t="shared" ref="I27:I34" si="6">IFERROR(H27/G27-1,"-")</f>
        <v>-3.3162331270012113E-2</v>
      </c>
      <c r="J27" s="165">
        <f t="shared" si="5"/>
        <v>-105879</v>
      </c>
      <c r="K27" s="166">
        <f t="shared" ref="K27:K34" si="7">H27/H$8</f>
        <v>0.18175274015423315</v>
      </c>
      <c r="L27" s="167"/>
    </row>
    <row r="28" spans="1:12" s="57" customFormat="1" x14ac:dyDescent="0.25">
      <c r="A28" s="163"/>
      <c r="B28" s="164" t="s">
        <v>115</v>
      </c>
      <c r="C28" s="165">
        <v>362212</v>
      </c>
      <c r="D28" s="165">
        <v>115206</v>
      </c>
      <c r="E28" s="165">
        <v>670064</v>
      </c>
      <c r="F28" s="165">
        <v>731883</v>
      </c>
      <c r="G28" s="165">
        <v>725205</v>
      </c>
      <c r="H28" s="165">
        <v>669931</v>
      </c>
      <c r="I28" s="166">
        <f t="shared" si="6"/>
        <v>-7.6218448576609421E-2</v>
      </c>
      <c r="J28" s="165">
        <f t="shared" si="5"/>
        <v>-55274</v>
      </c>
      <c r="K28" s="166">
        <f t="shared" si="7"/>
        <v>3.9445067322001107E-2</v>
      </c>
      <c r="L28" s="167"/>
    </row>
    <row r="29" spans="1:12" x14ac:dyDescent="0.25">
      <c r="A29" s="163"/>
      <c r="B29" s="164" t="s">
        <v>118</v>
      </c>
      <c r="C29" s="165">
        <v>111783</v>
      </c>
      <c r="D29" s="165">
        <v>107535</v>
      </c>
      <c r="E29" s="165">
        <v>231829</v>
      </c>
      <c r="F29" s="165">
        <v>253475</v>
      </c>
      <c r="G29" s="165">
        <v>263028</v>
      </c>
      <c r="H29" s="165">
        <v>198083</v>
      </c>
      <c r="I29" s="166">
        <f t="shared" si="6"/>
        <v>-0.24691287619569025</v>
      </c>
      <c r="J29" s="165">
        <f t="shared" si="5"/>
        <v>-64945</v>
      </c>
      <c r="K29" s="166">
        <f t="shared" si="7"/>
        <v>1.1662988084360846E-2</v>
      </c>
      <c r="L29" s="81"/>
    </row>
    <row r="30" spans="1:12" x14ac:dyDescent="0.25">
      <c r="A30" s="163"/>
      <c r="B30" s="164" t="s">
        <v>125</v>
      </c>
      <c r="C30" s="165">
        <v>100752</v>
      </c>
      <c r="D30" s="165">
        <v>28577</v>
      </c>
      <c r="E30" s="165">
        <v>302430</v>
      </c>
      <c r="F30" s="165">
        <v>258171</v>
      </c>
      <c r="G30" s="165">
        <v>268488</v>
      </c>
      <c r="H30" s="165">
        <v>254851</v>
      </c>
      <c r="I30" s="166">
        <f t="shared" si="6"/>
        <v>-5.0791841721045228E-2</v>
      </c>
      <c r="J30" s="165">
        <f t="shared" si="5"/>
        <v>-13637</v>
      </c>
      <c r="K30" s="166">
        <f t="shared" si="7"/>
        <v>1.5005448101490012E-2</v>
      </c>
      <c r="L30" s="81"/>
    </row>
    <row r="31" spans="1:12" x14ac:dyDescent="0.25">
      <c r="A31" s="163"/>
      <c r="B31" s="164" t="s">
        <v>121</v>
      </c>
      <c r="C31" s="165">
        <v>139238</v>
      </c>
      <c r="D31" s="165">
        <v>61223</v>
      </c>
      <c r="E31" s="165">
        <v>322667</v>
      </c>
      <c r="F31" s="165">
        <v>289767</v>
      </c>
      <c r="G31" s="165">
        <v>303476</v>
      </c>
      <c r="H31" s="165">
        <v>288687</v>
      </c>
      <c r="I31" s="166">
        <f t="shared" si="6"/>
        <v>-4.8732024937721552E-2</v>
      </c>
      <c r="J31" s="165">
        <f t="shared" si="5"/>
        <v>-14789</v>
      </c>
      <c r="K31" s="166">
        <f t="shared" si="7"/>
        <v>1.6997688045465181E-2</v>
      </c>
      <c r="L31" s="81"/>
    </row>
    <row r="32" spans="1:12" x14ac:dyDescent="0.25">
      <c r="A32" s="163"/>
      <c r="B32" s="164" t="s">
        <v>130</v>
      </c>
      <c r="C32" s="165">
        <v>94416</v>
      </c>
      <c r="D32" s="165">
        <v>1024</v>
      </c>
      <c r="E32" s="165">
        <v>101891</v>
      </c>
      <c r="F32" s="165">
        <v>115246</v>
      </c>
      <c r="G32" s="165">
        <v>108485</v>
      </c>
      <c r="H32" s="165">
        <v>101767</v>
      </c>
      <c r="I32" s="166">
        <f t="shared" si="6"/>
        <v>-6.1925611835737637E-2</v>
      </c>
      <c r="J32" s="165">
        <f t="shared" si="5"/>
        <v>-6718</v>
      </c>
      <c r="K32" s="166">
        <f t="shared" si="7"/>
        <v>5.9919695702364672E-3</v>
      </c>
      <c r="L32" s="81"/>
    </row>
    <row r="33" spans="1:12" x14ac:dyDescent="0.25">
      <c r="A33" s="163" t="s">
        <v>146</v>
      </c>
      <c r="B33" s="164" t="s">
        <v>133</v>
      </c>
      <c r="C33" s="165">
        <v>102903</v>
      </c>
      <c r="D33" s="165">
        <v>2755</v>
      </c>
      <c r="E33" s="165">
        <v>62434</v>
      </c>
      <c r="F33" s="165">
        <v>102312</v>
      </c>
      <c r="G33" s="165">
        <v>98553</v>
      </c>
      <c r="H33" s="165">
        <v>85183</v>
      </c>
      <c r="I33" s="166">
        <f t="shared" si="6"/>
        <v>-0.13566304425030185</v>
      </c>
      <c r="J33" s="165">
        <f t="shared" si="5"/>
        <v>-13370</v>
      </c>
      <c r="K33" s="166">
        <f t="shared" si="7"/>
        <v>5.0155152839471834E-3</v>
      </c>
      <c r="L33" s="81"/>
    </row>
    <row r="34" spans="1:12" x14ac:dyDescent="0.25">
      <c r="A34" s="163" t="s">
        <v>147</v>
      </c>
      <c r="B34" s="169" t="s">
        <v>147</v>
      </c>
      <c r="C34" s="170">
        <f t="shared" ref="C34" si="8">C26-SUM(C27:C33)</f>
        <v>581098</v>
      </c>
      <c r="D34" s="170">
        <f t="shared" ref="D34:H34" si="9">D26-SUM(D27:D33)</f>
        <v>312217</v>
      </c>
      <c r="E34" s="170">
        <f t="shared" si="9"/>
        <v>1190014</v>
      </c>
      <c r="F34" s="170">
        <f t="shared" si="9"/>
        <v>1373444</v>
      </c>
      <c r="G34" s="170">
        <f t="shared" si="9"/>
        <v>1459350</v>
      </c>
      <c r="H34" s="170">
        <f t="shared" si="9"/>
        <v>1428440</v>
      </c>
      <c r="I34" s="171">
        <f t="shared" si="6"/>
        <v>-2.118066262377083E-2</v>
      </c>
      <c r="J34" s="170">
        <f>H34-G34</f>
        <v>-30910</v>
      </c>
      <c r="K34" s="171">
        <f t="shared" si="7"/>
        <v>8.4105545146349797E-2</v>
      </c>
      <c r="L34" s="81"/>
    </row>
    <row r="35" spans="1:12" s="147" customFormat="1" x14ac:dyDescent="0.25">
      <c r="A35" s="163"/>
      <c r="B35" s="156" t="s">
        <v>47</v>
      </c>
      <c r="C35" s="154"/>
      <c r="D35" s="154"/>
      <c r="E35" s="154"/>
      <c r="F35" s="154"/>
      <c r="G35" s="154"/>
      <c r="H35" s="154"/>
      <c r="I35" s="154"/>
      <c r="J35" s="154"/>
      <c r="K35" s="154"/>
    </row>
    <row r="36" spans="1:12" x14ac:dyDescent="0.25">
      <c r="A36" s="163"/>
      <c r="B36" s="157" t="s">
        <v>70</v>
      </c>
      <c r="C36" s="177">
        <v>2107837</v>
      </c>
      <c r="D36" s="177">
        <v>435324</v>
      </c>
      <c r="E36" s="177">
        <v>3984750</v>
      </c>
      <c r="F36" s="177">
        <v>4577973</v>
      </c>
      <c r="G36" s="177">
        <v>4852701</v>
      </c>
      <c r="H36" s="177">
        <v>4821619</v>
      </c>
      <c r="I36" s="178">
        <f>IFERROR(H36/G36-1,"-")</f>
        <v>-6.4050927514388567E-3</v>
      </c>
      <c r="J36" s="177">
        <f>H36-G36</f>
        <v>-31082</v>
      </c>
      <c r="K36" s="178">
        <f>H36/H$8</f>
        <v>0.28389354434417824</v>
      </c>
      <c r="L36" s="81"/>
    </row>
    <row r="37" spans="1:12" x14ac:dyDescent="0.25">
      <c r="A37" s="163" t="s">
        <v>98</v>
      </c>
      <c r="B37" s="160" t="s">
        <v>99</v>
      </c>
      <c r="C37" s="161">
        <v>83093</v>
      </c>
      <c r="D37" s="161">
        <v>80680</v>
      </c>
      <c r="E37" s="161">
        <v>202461</v>
      </c>
      <c r="F37" s="161">
        <v>197417</v>
      </c>
      <c r="G37" s="161">
        <v>224668</v>
      </c>
      <c r="H37" s="161">
        <v>231789</v>
      </c>
      <c r="I37" s="162">
        <f>IFERROR(H37/G37-1,"-")</f>
        <v>3.1695657592536453E-2</v>
      </c>
      <c r="J37" s="161">
        <f t="shared" ref="J37:J47" si="10">H37-G37</f>
        <v>7121</v>
      </c>
      <c r="K37" s="162">
        <f>H37/H$8</f>
        <v>1.3647573719531288E-2</v>
      </c>
      <c r="L37" s="81"/>
    </row>
    <row r="38" spans="1:12" x14ac:dyDescent="0.25">
      <c r="A38" s="163" t="s">
        <v>105</v>
      </c>
      <c r="B38" s="164" t="s">
        <v>105</v>
      </c>
      <c r="C38" s="165">
        <v>30721</v>
      </c>
      <c r="D38" s="165">
        <v>50465</v>
      </c>
      <c r="E38" s="165">
        <v>66284</v>
      </c>
      <c r="F38" s="165">
        <v>61758</v>
      </c>
      <c r="G38" s="165">
        <v>102567</v>
      </c>
      <c r="H38" s="165">
        <v>86666</v>
      </c>
      <c r="I38" s="166">
        <f>IFERROR(H38/G38-1,"-")</f>
        <v>-0.15503037039203638</v>
      </c>
      <c r="J38" s="165">
        <f t="shared" si="10"/>
        <v>-15901</v>
      </c>
      <c r="K38" s="166">
        <f>H38/H$8</f>
        <v>5.1028332836195785E-3</v>
      </c>
      <c r="L38" s="81"/>
    </row>
    <row r="39" spans="1:12" x14ac:dyDescent="0.25">
      <c r="A39" s="163" t="s">
        <v>102</v>
      </c>
      <c r="B39" s="164" t="s">
        <v>102</v>
      </c>
      <c r="C39" s="165">
        <v>52372</v>
      </c>
      <c r="D39" s="165">
        <v>30215</v>
      </c>
      <c r="E39" s="165">
        <v>136177</v>
      </c>
      <c r="F39" s="165">
        <v>135659</v>
      </c>
      <c r="G39" s="165">
        <v>122101</v>
      </c>
      <c r="H39" s="165">
        <v>145123</v>
      </c>
      <c r="I39" s="166">
        <f>IFERROR(H39/G39-1,"-")</f>
        <v>0.18854882433395304</v>
      </c>
      <c r="J39" s="165">
        <f t="shared" si="10"/>
        <v>23022</v>
      </c>
      <c r="K39" s="166">
        <f>H39/H$8</f>
        <v>8.5447404359117081E-3</v>
      </c>
      <c r="L39" s="81"/>
    </row>
    <row r="40" spans="1:12" x14ac:dyDescent="0.25">
      <c r="A40" s="163"/>
      <c r="B40" s="160" t="s">
        <v>109</v>
      </c>
      <c r="C40" s="161">
        <v>2024744</v>
      </c>
      <c r="D40" s="161">
        <v>354644</v>
      </c>
      <c r="E40" s="161">
        <v>3782289</v>
      </c>
      <c r="F40" s="161">
        <v>4380556</v>
      </c>
      <c r="G40" s="161">
        <v>4628033</v>
      </c>
      <c r="H40" s="161">
        <v>4589830</v>
      </c>
      <c r="I40" s="162">
        <f>IFERROR(H40/G40-1,"-")</f>
        <v>-8.2546948131095865E-3</v>
      </c>
      <c r="J40" s="161">
        <f t="shared" si="10"/>
        <v>-38203</v>
      </c>
      <c r="K40" s="162">
        <f>H40/H$8</f>
        <v>0.27024597062464695</v>
      </c>
      <c r="L40" s="81"/>
    </row>
    <row r="41" spans="1:12" s="57" customFormat="1" x14ac:dyDescent="0.25">
      <c r="A41" s="163"/>
      <c r="B41" s="164" t="s">
        <v>112</v>
      </c>
      <c r="C41" s="165">
        <v>902556</v>
      </c>
      <c r="D41" s="165">
        <v>23001</v>
      </c>
      <c r="E41" s="165">
        <v>1837539</v>
      </c>
      <c r="F41" s="165">
        <v>2103148</v>
      </c>
      <c r="G41" s="165">
        <v>2290536</v>
      </c>
      <c r="H41" s="165">
        <v>2284613</v>
      </c>
      <c r="I41" s="166">
        <f t="shared" ref="I41:I48" si="11">IFERROR(H41/G41-1,"-")</f>
        <v>-2.5858576333225303E-3</v>
      </c>
      <c r="J41" s="165">
        <f t="shared" si="10"/>
        <v>-5923</v>
      </c>
      <c r="K41" s="166">
        <f t="shared" ref="K41:K48" si="12">H41/H$8</f>
        <v>0.13451641077919804</v>
      </c>
      <c r="L41" s="167"/>
    </row>
    <row r="42" spans="1:12" s="57" customFormat="1" x14ac:dyDescent="0.25">
      <c r="A42" s="163"/>
      <c r="B42" s="164" t="s">
        <v>115</v>
      </c>
      <c r="C42" s="165">
        <v>105694</v>
      </c>
      <c r="D42" s="165">
        <v>29903</v>
      </c>
      <c r="E42" s="165">
        <v>145140</v>
      </c>
      <c r="F42" s="165">
        <v>180829</v>
      </c>
      <c r="G42" s="165">
        <v>174965</v>
      </c>
      <c r="H42" s="165">
        <v>176081</v>
      </c>
      <c r="I42" s="166">
        <f t="shared" si="11"/>
        <v>6.378418540851083E-3</v>
      </c>
      <c r="J42" s="165">
        <f t="shared" si="10"/>
        <v>1116</v>
      </c>
      <c r="K42" s="166">
        <f t="shared" si="12"/>
        <v>1.0367525758809903E-2</v>
      </c>
      <c r="L42" s="167"/>
    </row>
    <row r="43" spans="1:12" x14ac:dyDescent="0.25">
      <c r="A43" s="163"/>
      <c r="B43" s="164" t="s">
        <v>118</v>
      </c>
      <c r="C43" s="165">
        <v>43618</v>
      </c>
      <c r="D43" s="165">
        <v>38808</v>
      </c>
      <c r="E43" s="165">
        <v>88186</v>
      </c>
      <c r="F43" s="165">
        <v>119475</v>
      </c>
      <c r="G43" s="165">
        <v>117531</v>
      </c>
      <c r="H43" s="165">
        <v>116798</v>
      </c>
      <c r="I43" s="166">
        <f t="shared" si="11"/>
        <v>-6.2366524576494831E-3</v>
      </c>
      <c r="J43" s="165">
        <f t="shared" si="10"/>
        <v>-733</v>
      </c>
      <c r="K43" s="166">
        <f t="shared" si="12"/>
        <v>6.8769843059585025E-3</v>
      </c>
      <c r="L43" s="81"/>
    </row>
    <row r="44" spans="1:12" x14ac:dyDescent="0.25">
      <c r="A44" s="163"/>
      <c r="B44" s="164" t="s">
        <v>125</v>
      </c>
      <c r="C44" s="165">
        <v>87975</v>
      </c>
      <c r="D44" s="165">
        <v>21823</v>
      </c>
      <c r="E44" s="165">
        <v>222483</v>
      </c>
      <c r="F44" s="165">
        <v>225943</v>
      </c>
      <c r="G44" s="165">
        <v>232398</v>
      </c>
      <c r="H44" s="165">
        <v>209274</v>
      </c>
      <c r="I44" s="166">
        <f t="shared" si="11"/>
        <v>-9.9501716882245073E-2</v>
      </c>
      <c r="J44" s="165">
        <f t="shared" si="10"/>
        <v>-23124</v>
      </c>
      <c r="K44" s="166">
        <f t="shared" si="12"/>
        <v>1.232190631385092E-2</v>
      </c>
      <c r="L44" s="81"/>
    </row>
    <row r="45" spans="1:12" x14ac:dyDescent="0.25">
      <c r="A45" s="163"/>
      <c r="B45" s="164" t="s">
        <v>121</v>
      </c>
      <c r="C45" s="165">
        <v>80980</v>
      </c>
      <c r="D45" s="165">
        <v>17757</v>
      </c>
      <c r="E45" s="165">
        <v>144266</v>
      </c>
      <c r="F45" s="165">
        <v>171083</v>
      </c>
      <c r="G45" s="165">
        <v>180469</v>
      </c>
      <c r="H45" s="165">
        <v>155710</v>
      </c>
      <c r="I45" s="166">
        <f t="shared" si="11"/>
        <v>-0.13719253722245928</v>
      </c>
      <c r="J45" s="165">
        <f t="shared" si="10"/>
        <v>-24759</v>
      </c>
      <c r="K45" s="166">
        <f t="shared" si="12"/>
        <v>9.1680955691090475E-3</v>
      </c>
      <c r="L45" s="81"/>
    </row>
    <row r="46" spans="1:12" x14ac:dyDescent="0.25">
      <c r="A46" s="163"/>
      <c r="B46" s="164" t="s">
        <v>130</v>
      </c>
      <c r="C46" s="165">
        <v>85742</v>
      </c>
      <c r="D46" s="165">
        <v>1370</v>
      </c>
      <c r="E46" s="165">
        <v>103985</v>
      </c>
      <c r="F46" s="165">
        <v>119178</v>
      </c>
      <c r="G46" s="165">
        <v>112983</v>
      </c>
      <c r="H46" s="165">
        <v>119895</v>
      </c>
      <c r="I46" s="166">
        <f t="shared" si="11"/>
        <v>6.1177345264331828E-2</v>
      </c>
      <c r="J46" s="165">
        <f t="shared" si="10"/>
        <v>6912</v>
      </c>
      <c r="K46" s="166">
        <f t="shared" si="12"/>
        <v>7.0593334934065197E-3</v>
      </c>
      <c r="L46" s="81"/>
    </row>
    <row r="47" spans="1:12" x14ac:dyDescent="0.25">
      <c r="A47" s="163" t="s">
        <v>146</v>
      </c>
      <c r="B47" s="164" t="s">
        <v>133</v>
      </c>
      <c r="C47" s="165">
        <v>138797</v>
      </c>
      <c r="D47" s="165">
        <v>14154</v>
      </c>
      <c r="E47" s="165">
        <v>98497</v>
      </c>
      <c r="F47" s="165">
        <v>123267</v>
      </c>
      <c r="G47" s="165">
        <v>136431</v>
      </c>
      <c r="H47" s="165">
        <v>117085</v>
      </c>
      <c r="I47" s="166">
        <f t="shared" si="11"/>
        <v>-0.14180061716178871</v>
      </c>
      <c r="J47" s="165">
        <f t="shared" si="10"/>
        <v>-19346</v>
      </c>
      <c r="K47" s="166">
        <f t="shared" si="12"/>
        <v>6.8938826646274022E-3</v>
      </c>
      <c r="L47" s="81"/>
    </row>
    <row r="48" spans="1:12" x14ac:dyDescent="0.25">
      <c r="A48" s="163" t="s">
        <v>147</v>
      </c>
      <c r="B48" s="169" t="s">
        <v>147</v>
      </c>
      <c r="C48" s="170">
        <f t="shared" ref="C48" si="13">C40-SUM(C41:C47)</f>
        <v>579382</v>
      </c>
      <c r="D48" s="170">
        <f t="shared" ref="D48:H48" si="14">D40-SUM(D41:D47)</f>
        <v>207828</v>
      </c>
      <c r="E48" s="170">
        <f t="shared" si="14"/>
        <v>1142193</v>
      </c>
      <c r="F48" s="170">
        <f t="shared" si="14"/>
        <v>1337633</v>
      </c>
      <c r="G48" s="170">
        <f t="shared" si="14"/>
        <v>1382720</v>
      </c>
      <c r="H48" s="170">
        <f t="shared" si="14"/>
        <v>1410374</v>
      </c>
      <c r="I48" s="171">
        <f t="shared" si="11"/>
        <v>1.9999710715112196E-2</v>
      </c>
      <c r="J48" s="170">
        <f>H48-G48</f>
        <v>27654</v>
      </c>
      <c r="K48" s="171">
        <f t="shared" si="12"/>
        <v>8.3041831739686614E-2</v>
      </c>
      <c r="L48" s="81"/>
    </row>
    <row r="49" spans="1:12" s="147" customFormat="1" x14ac:dyDescent="0.25">
      <c r="A49" s="163"/>
      <c r="B49" s="156" t="s">
        <v>48</v>
      </c>
      <c r="C49" s="154"/>
      <c r="D49" s="154"/>
      <c r="E49" s="154"/>
      <c r="F49" s="154"/>
      <c r="G49" s="154"/>
      <c r="H49" s="154"/>
      <c r="I49" s="154"/>
      <c r="J49" s="154"/>
      <c r="K49" s="154"/>
    </row>
    <row r="50" spans="1:12" x14ac:dyDescent="0.25">
      <c r="A50" s="163"/>
      <c r="B50" s="157" t="s">
        <v>70</v>
      </c>
      <c r="C50" s="177">
        <v>53738</v>
      </c>
      <c r="D50" s="177">
        <v>21541</v>
      </c>
      <c r="E50" s="177">
        <v>79184</v>
      </c>
      <c r="F50" s="177">
        <v>87423</v>
      </c>
      <c r="G50" s="177">
        <v>95439</v>
      </c>
      <c r="H50" s="177">
        <v>98196</v>
      </c>
      <c r="I50" s="178">
        <f>IFERROR(H50/G50-1,"-")</f>
        <v>2.8887561688617946E-2</v>
      </c>
      <c r="J50" s="177">
        <f>H50-G50</f>
        <v>2757</v>
      </c>
      <c r="K50" s="178">
        <f>H50/H$8</f>
        <v>5.7817115953004428E-3</v>
      </c>
      <c r="L50" s="81"/>
    </row>
    <row r="51" spans="1:12" x14ac:dyDescent="0.25">
      <c r="A51" s="163" t="s">
        <v>98</v>
      </c>
      <c r="B51" s="160" t="s">
        <v>99</v>
      </c>
      <c r="C51" s="161">
        <v>2905</v>
      </c>
      <c r="D51" s="161">
        <v>5270</v>
      </c>
      <c r="E51" s="161">
        <v>7015</v>
      </c>
      <c r="F51" s="161">
        <v>22749</v>
      </c>
      <c r="G51" s="161">
        <v>13891</v>
      </c>
      <c r="H51" s="161">
        <v>13820</v>
      </c>
      <c r="I51" s="162">
        <f>IFERROR(H51/G51-1,"-")</f>
        <v>-5.1112230940897341E-3</v>
      </c>
      <c r="J51" s="161">
        <f t="shared" ref="J51:J61" si="15">H51-G51</f>
        <v>-71</v>
      </c>
      <c r="K51" s="162">
        <f>H51/H$8</f>
        <v>8.1371190524107009E-4</v>
      </c>
      <c r="L51" s="81"/>
    </row>
    <row r="52" spans="1:12" x14ac:dyDescent="0.25">
      <c r="A52" s="163" t="s">
        <v>105</v>
      </c>
      <c r="B52" s="164" t="s">
        <v>105</v>
      </c>
      <c r="C52" s="165">
        <v>1316</v>
      </c>
      <c r="D52" s="165">
        <v>2786</v>
      </c>
      <c r="E52" s="165">
        <v>1379</v>
      </c>
      <c r="F52" s="165">
        <v>15526</v>
      </c>
      <c r="G52" s="165">
        <v>7458</v>
      </c>
      <c r="H52" s="165">
        <v>8829</v>
      </c>
      <c r="I52" s="166">
        <f>IFERROR(H52/G52-1,"-")</f>
        <v>0.18382944489139175</v>
      </c>
      <c r="J52" s="165">
        <f t="shared" si="15"/>
        <v>1371</v>
      </c>
      <c r="K52" s="166">
        <f>H52/H$8</f>
        <v>5.198453264380179E-4</v>
      </c>
      <c r="L52" s="81"/>
    </row>
    <row r="53" spans="1:12" x14ac:dyDescent="0.25">
      <c r="A53" s="163" t="s">
        <v>102</v>
      </c>
      <c r="B53" s="164" t="s">
        <v>102</v>
      </c>
      <c r="C53" s="165">
        <v>1589</v>
      </c>
      <c r="D53" s="165">
        <v>2484</v>
      </c>
      <c r="E53" s="165">
        <v>5636</v>
      </c>
      <c r="F53" s="165">
        <v>7223</v>
      </c>
      <c r="G53" s="165">
        <v>6433</v>
      </c>
      <c r="H53" s="165">
        <v>4991</v>
      </c>
      <c r="I53" s="166">
        <f>IFERROR(H53/G53-1,"-")</f>
        <v>-0.22415669205658328</v>
      </c>
      <c r="J53" s="165">
        <f t="shared" si="15"/>
        <v>-1442</v>
      </c>
      <c r="K53" s="166">
        <f>H53/H$8</f>
        <v>2.9386657880305214E-4</v>
      </c>
      <c r="L53" s="81"/>
    </row>
    <row r="54" spans="1:12" x14ac:dyDescent="0.25">
      <c r="A54" s="163"/>
      <c r="B54" s="160" t="s">
        <v>109</v>
      </c>
      <c r="C54" s="161">
        <v>50833</v>
      </c>
      <c r="D54" s="161">
        <v>16271</v>
      </c>
      <c r="E54" s="161">
        <v>72169</v>
      </c>
      <c r="F54" s="161">
        <v>64674</v>
      </c>
      <c r="G54" s="161">
        <v>81548</v>
      </c>
      <c r="H54" s="161">
        <v>84376</v>
      </c>
      <c r="I54" s="162">
        <f>IFERROR(H54/G54-1,"-")</f>
        <v>3.4678962083680709E-2</v>
      </c>
      <c r="J54" s="161">
        <f t="shared" si="15"/>
        <v>2828</v>
      </c>
      <c r="K54" s="162">
        <f>H54/H$8</f>
        <v>4.9679996900593723E-3</v>
      </c>
      <c r="L54" s="81"/>
    </row>
    <row r="55" spans="1:12" s="57" customFormat="1" x14ac:dyDescent="0.25">
      <c r="A55" s="163"/>
      <c r="B55" s="164" t="s">
        <v>112</v>
      </c>
      <c r="C55" s="165">
        <v>18908</v>
      </c>
      <c r="D55" s="165">
        <v>666</v>
      </c>
      <c r="E55" s="165">
        <v>32932</v>
      </c>
      <c r="F55" s="165">
        <v>27073</v>
      </c>
      <c r="G55" s="165">
        <v>34148</v>
      </c>
      <c r="H55" s="165">
        <v>34514</v>
      </c>
      <c r="I55" s="166">
        <f t="shared" ref="I55:I62" si="16">IFERROR(H55/G55-1,"-")</f>
        <v>1.0718050837530857E-2</v>
      </c>
      <c r="J55" s="165">
        <f t="shared" si="15"/>
        <v>366</v>
      </c>
      <c r="K55" s="166">
        <f t="shared" ref="K55:K62" si="17">H55/H$8</f>
        <v>2.0321601083567505E-3</v>
      </c>
      <c r="L55" s="167"/>
    </row>
    <row r="56" spans="1:12" s="57" customFormat="1" x14ac:dyDescent="0.25">
      <c r="A56" s="163"/>
      <c r="B56" s="164" t="s">
        <v>115</v>
      </c>
      <c r="C56" s="165">
        <v>14632</v>
      </c>
      <c r="D56" s="165">
        <v>6876</v>
      </c>
      <c r="E56" s="165">
        <v>17649</v>
      </c>
      <c r="F56" s="165">
        <v>13761</v>
      </c>
      <c r="G56" s="165">
        <v>19991</v>
      </c>
      <c r="H56" s="165">
        <v>19774</v>
      </c>
      <c r="I56" s="166">
        <f t="shared" si="16"/>
        <v>-1.0854884698114131E-2</v>
      </c>
      <c r="J56" s="165">
        <f t="shared" si="15"/>
        <v>-217</v>
      </c>
      <c r="K56" s="166">
        <f t="shared" si="17"/>
        <v>1.1642792484976064E-3</v>
      </c>
      <c r="L56" s="167"/>
    </row>
    <row r="57" spans="1:12" x14ac:dyDescent="0.25">
      <c r="A57" s="163"/>
      <c r="B57" s="164" t="s">
        <v>118</v>
      </c>
      <c r="C57" s="165">
        <v>1120</v>
      </c>
      <c r="D57" s="165">
        <v>1473</v>
      </c>
      <c r="E57" s="165">
        <v>2581</v>
      </c>
      <c r="F57" s="165">
        <v>3488</v>
      </c>
      <c r="G57" s="165">
        <v>2768</v>
      </c>
      <c r="H57" s="165">
        <v>2691</v>
      </c>
      <c r="I57" s="166">
        <f t="shared" si="16"/>
        <v>-2.7817919075144526E-2</v>
      </c>
      <c r="J57" s="165">
        <f t="shared" si="15"/>
        <v>-77</v>
      </c>
      <c r="K57" s="166">
        <f t="shared" si="17"/>
        <v>1.5844419225786684E-4</v>
      </c>
      <c r="L57" s="81"/>
    </row>
    <row r="58" spans="1:12" x14ac:dyDescent="0.25">
      <c r="A58" s="163"/>
      <c r="B58" s="164" t="s">
        <v>125</v>
      </c>
      <c r="C58" s="165">
        <v>588</v>
      </c>
      <c r="D58" s="165">
        <v>571</v>
      </c>
      <c r="E58" s="165">
        <v>1486</v>
      </c>
      <c r="F58" s="165">
        <v>1059</v>
      </c>
      <c r="G58" s="165">
        <v>2307</v>
      </c>
      <c r="H58" s="165">
        <v>2396</v>
      </c>
      <c r="I58" s="166">
        <f t="shared" si="16"/>
        <v>3.8578240138708253E-2</v>
      </c>
      <c r="J58" s="165">
        <f t="shared" si="15"/>
        <v>89</v>
      </c>
      <c r="K58" s="166">
        <f t="shared" si="17"/>
        <v>1.4107479920098437E-4</v>
      </c>
      <c r="L58" s="81"/>
    </row>
    <row r="59" spans="1:12" x14ac:dyDescent="0.25">
      <c r="A59" s="163"/>
      <c r="B59" s="164" t="s">
        <v>121</v>
      </c>
      <c r="C59" s="165">
        <v>725</v>
      </c>
      <c r="D59" s="165">
        <v>293</v>
      </c>
      <c r="E59" s="165">
        <v>1304</v>
      </c>
      <c r="F59" s="165">
        <v>1436</v>
      </c>
      <c r="G59" s="165">
        <v>1469</v>
      </c>
      <c r="H59" s="165">
        <v>1633</v>
      </c>
      <c r="I59" s="166">
        <f t="shared" si="16"/>
        <v>0.11164057181756304</v>
      </c>
      <c r="J59" s="165">
        <f t="shared" si="15"/>
        <v>164</v>
      </c>
      <c r="K59" s="166">
        <f t="shared" si="17"/>
        <v>9.6149894447081577E-5</v>
      </c>
      <c r="L59" s="81"/>
    </row>
    <row r="60" spans="1:12" x14ac:dyDescent="0.25">
      <c r="A60" s="163"/>
      <c r="B60" s="164" t="s">
        <v>130</v>
      </c>
      <c r="C60" s="165">
        <v>713</v>
      </c>
      <c r="D60" s="165">
        <v>133</v>
      </c>
      <c r="E60" s="165">
        <v>201</v>
      </c>
      <c r="F60" s="165">
        <v>512</v>
      </c>
      <c r="G60" s="165">
        <v>357</v>
      </c>
      <c r="H60" s="165">
        <v>596</v>
      </c>
      <c r="I60" s="166">
        <f t="shared" si="16"/>
        <v>0.669467787114846</v>
      </c>
      <c r="J60" s="165">
        <f t="shared" si="15"/>
        <v>239</v>
      </c>
      <c r="K60" s="166">
        <f t="shared" si="17"/>
        <v>3.509206190475237E-5</v>
      </c>
      <c r="L60" s="81"/>
    </row>
    <row r="61" spans="1:12" x14ac:dyDescent="0.25">
      <c r="A61" s="163" t="s">
        <v>146</v>
      </c>
      <c r="B61" s="164" t="s">
        <v>133</v>
      </c>
      <c r="C61" s="165">
        <v>1488</v>
      </c>
      <c r="D61" s="165">
        <v>55</v>
      </c>
      <c r="E61" s="165">
        <v>243</v>
      </c>
      <c r="F61" s="165">
        <v>443</v>
      </c>
      <c r="G61" s="165">
        <v>365</v>
      </c>
      <c r="H61" s="165">
        <v>957</v>
      </c>
      <c r="I61" s="166">
        <f t="shared" si="16"/>
        <v>1.6219178082191781</v>
      </c>
      <c r="J61" s="165">
        <f t="shared" si="15"/>
        <v>592</v>
      </c>
      <c r="K61" s="166">
        <f t="shared" si="17"/>
        <v>5.6347488662496678E-5</v>
      </c>
      <c r="L61" s="81"/>
    </row>
    <row r="62" spans="1:12" x14ac:dyDescent="0.25">
      <c r="A62" s="163" t="s">
        <v>147</v>
      </c>
      <c r="B62" s="169" t="s">
        <v>147</v>
      </c>
      <c r="C62" s="170">
        <f t="shared" ref="C62" si="18">C54-SUM(C55:C61)</f>
        <v>12659</v>
      </c>
      <c r="D62" s="170">
        <f t="shared" ref="D62:H62" si="19">D54-SUM(D55:D61)</f>
        <v>6204</v>
      </c>
      <c r="E62" s="170">
        <f t="shared" si="19"/>
        <v>15773</v>
      </c>
      <c r="F62" s="170">
        <f t="shared" si="19"/>
        <v>16902</v>
      </c>
      <c r="G62" s="170">
        <f t="shared" si="19"/>
        <v>20143</v>
      </c>
      <c r="H62" s="170">
        <f t="shared" si="19"/>
        <v>21815</v>
      </c>
      <c r="I62" s="171">
        <f t="shared" si="16"/>
        <v>8.3006503499975182E-2</v>
      </c>
      <c r="J62" s="170">
        <f>H62-G62</f>
        <v>1672</v>
      </c>
      <c r="K62" s="171">
        <f t="shared" si="17"/>
        <v>1.2844518967318338E-3</v>
      </c>
      <c r="L62" s="81"/>
    </row>
    <row r="63" spans="1:12" s="147" customFormat="1" x14ac:dyDescent="0.25">
      <c r="A63" s="163"/>
      <c r="B63" s="156" t="s">
        <v>49</v>
      </c>
      <c r="C63" s="154"/>
      <c r="D63" s="154"/>
      <c r="E63" s="154"/>
      <c r="F63" s="154"/>
      <c r="G63" s="154"/>
      <c r="H63" s="154"/>
      <c r="I63" s="154"/>
      <c r="J63" s="154"/>
      <c r="K63" s="154"/>
    </row>
    <row r="64" spans="1:12" x14ac:dyDescent="0.25">
      <c r="A64" s="163"/>
      <c r="B64" s="157" t="s">
        <v>70</v>
      </c>
      <c r="C64" s="177">
        <v>148054</v>
      </c>
      <c r="D64" s="177">
        <v>120089</v>
      </c>
      <c r="E64" s="177">
        <v>391208</v>
      </c>
      <c r="F64" s="177">
        <v>518511</v>
      </c>
      <c r="G64" s="177">
        <v>690117</v>
      </c>
      <c r="H64" s="177">
        <v>540830</v>
      </c>
      <c r="I64" s="178">
        <f>IFERROR(H64/G64-1,"-")</f>
        <v>-0.21632129044785164</v>
      </c>
      <c r="J64" s="177">
        <f>H64-G64</f>
        <v>-149287</v>
      </c>
      <c r="K64" s="178">
        <f>H64/H$8</f>
        <v>3.1843691006622862E-2</v>
      </c>
      <c r="L64" s="81"/>
    </row>
    <row r="65" spans="1:12" x14ac:dyDescent="0.25">
      <c r="A65" s="163" t="s">
        <v>98</v>
      </c>
      <c r="B65" s="160" t="s">
        <v>99</v>
      </c>
      <c r="C65" s="161">
        <v>21111</v>
      </c>
      <c r="D65" s="161">
        <v>25646</v>
      </c>
      <c r="E65" s="161">
        <v>53650</v>
      </c>
      <c r="F65" s="161">
        <v>51615</v>
      </c>
      <c r="G65" s="161">
        <v>124642</v>
      </c>
      <c r="H65" s="161">
        <v>75649</v>
      </c>
      <c r="I65" s="162">
        <f>IFERROR(H65/G65-1,"-")</f>
        <v>-0.39306975176906656</v>
      </c>
      <c r="J65" s="161">
        <f t="shared" ref="J65:J75" si="20">H65-G65</f>
        <v>-48993</v>
      </c>
      <c r="K65" s="162">
        <f>H65/H$8</f>
        <v>4.454160052068141E-3</v>
      </c>
      <c r="L65" s="81"/>
    </row>
    <row r="66" spans="1:12" x14ac:dyDescent="0.25">
      <c r="A66" s="163" t="s">
        <v>105</v>
      </c>
      <c r="B66" s="164" t="s">
        <v>105</v>
      </c>
      <c r="C66" s="165">
        <v>5837</v>
      </c>
      <c r="D66" s="165">
        <v>23518</v>
      </c>
      <c r="E66" s="165">
        <v>35133</v>
      </c>
      <c r="F66" s="165">
        <v>31449</v>
      </c>
      <c r="G66" s="165">
        <v>62180</v>
      </c>
      <c r="H66" s="165">
        <v>19756</v>
      </c>
      <c r="I66" s="166">
        <f>IFERROR(H66/G66-1,"-")</f>
        <v>-0.68227725956899321</v>
      </c>
      <c r="J66" s="165">
        <f t="shared" si="20"/>
        <v>-42424</v>
      </c>
      <c r="K66" s="166">
        <f>H66/H$8</f>
        <v>1.1632194211246441E-3</v>
      </c>
      <c r="L66" s="81"/>
    </row>
    <row r="67" spans="1:12" x14ac:dyDescent="0.25">
      <c r="A67" s="163" t="s">
        <v>102</v>
      </c>
      <c r="B67" s="164" t="s">
        <v>102</v>
      </c>
      <c r="C67" s="165">
        <v>15274</v>
      </c>
      <c r="D67" s="165">
        <v>2128</v>
      </c>
      <c r="E67" s="165">
        <v>18517</v>
      </c>
      <c r="F67" s="165">
        <v>20166</v>
      </c>
      <c r="G67" s="165">
        <v>62462</v>
      </c>
      <c r="H67" s="165">
        <v>55893</v>
      </c>
      <c r="I67" s="166">
        <f>IFERROR(H67/G67-1,"-")</f>
        <v>-0.1051679421088022</v>
      </c>
      <c r="J67" s="165">
        <f t="shared" si="20"/>
        <v>-6569</v>
      </c>
      <c r="K67" s="166">
        <f>H67/H$8</f>
        <v>3.2909406309434971E-3</v>
      </c>
      <c r="L67" s="81"/>
    </row>
    <row r="68" spans="1:12" x14ac:dyDescent="0.25">
      <c r="A68" s="163"/>
      <c r="B68" s="160" t="s">
        <v>109</v>
      </c>
      <c r="C68" s="161">
        <v>126943</v>
      </c>
      <c r="D68" s="161">
        <v>94443</v>
      </c>
      <c r="E68" s="161">
        <v>337558</v>
      </c>
      <c r="F68" s="161">
        <v>466896</v>
      </c>
      <c r="G68" s="161">
        <v>565475</v>
      </c>
      <c r="H68" s="161">
        <v>465181</v>
      </c>
      <c r="I68" s="162">
        <f>IFERROR(H68/G68-1,"-")</f>
        <v>-0.17736239444714619</v>
      </c>
      <c r="J68" s="161">
        <f t="shared" si="20"/>
        <v>-100294</v>
      </c>
      <c r="K68" s="162">
        <f>H68/H$8</f>
        <v>2.7389530954554719E-2</v>
      </c>
      <c r="L68" s="81"/>
    </row>
    <row r="69" spans="1:12" s="57" customFormat="1" x14ac:dyDescent="0.25">
      <c r="A69" s="163"/>
      <c r="B69" s="164" t="s">
        <v>112</v>
      </c>
      <c r="C69" s="165">
        <v>48594</v>
      </c>
      <c r="D69" s="165">
        <v>11731</v>
      </c>
      <c r="E69" s="165">
        <v>133540</v>
      </c>
      <c r="F69" s="165">
        <v>163806</v>
      </c>
      <c r="G69" s="165">
        <v>209495</v>
      </c>
      <c r="H69" s="165">
        <v>221197</v>
      </c>
      <c r="I69" s="166">
        <f t="shared" ref="I69:I76" si="21">IFERROR(H69/G69-1,"-")</f>
        <v>5.5858135039022372E-2</v>
      </c>
      <c r="J69" s="165">
        <f t="shared" si="20"/>
        <v>11702</v>
      </c>
      <c r="K69" s="166">
        <f t="shared" ref="K69:K76" si="22">H69/H$8</f>
        <v>1.3023924189841461E-2</v>
      </c>
      <c r="L69" s="167"/>
    </row>
    <row r="70" spans="1:12" s="57" customFormat="1" x14ac:dyDescent="0.25">
      <c r="A70" s="163"/>
      <c r="B70" s="164" t="s">
        <v>115</v>
      </c>
      <c r="C70" s="165">
        <v>16991</v>
      </c>
      <c r="D70" s="165">
        <v>19072</v>
      </c>
      <c r="E70" s="165">
        <v>37859</v>
      </c>
      <c r="F70" s="165">
        <v>42394</v>
      </c>
      <c r="G70" s="165">
        <v>40248</v>
      </c>
      <c r="H70" s="165">
        <v>39552</v>
      </c>
      <c r="I70" s="166">
        <f t="shared" si="21"/>
        <v>-1.7292784734645239E-2</v>
      </c>
      <c r="J70" s="165">
        <f t="shared" si="20"/>
        <v>-696</v>
      </c>
      <c r="K70" s="166">
        <f t="shared" si="22"/>
        <v>2.3287940141892044E-3</v>
      </c>
      <c r="L70" s="167"/>
    </row>
    <row r="71" spans="1:12" x14ac:dyDescent="0.25">
      <c r="A71" s="163"/>
      <c r="B71" s="164" t="s">
        <v>118</v>
      </c>
      <c r="C71" s="165">
        <v>15594</v>
      </c>
      <c r="D71" s="165">
        <v>7055</v>
      </c>
      <c r="E71" s="165">
        <v>44888</v>
      </c>
      <c r="F71" s="165">
        <v>61099</v>
      </c>
      <c r="G71" s="165">
        <v>70677</v>
      </c>
      <c r="H71" s="165">
        <v>32292</v>
      </c>
      <c r="I71" s="166">
        <f t="shared" si="21"/>
        <v>-0.543104546033363</v>
      </c>
      <c r="J71" s="165">
        <f t="shared" si="20"/>
        <v>-38385</v>
      </c>
      <c r="K71" s="166">
        <f t="shared" si="22"/>
        <v>1.9013303070944021E-3</v>
      </c>
      <c r="L71" s="81"/>
    </row>
    <row r="72" spans="1:12" x14ac:dyDescent="0.25">
      <c r="A72" s="163"/>
      <c r="B72" s="164" t="s">
        <v>125</v>
      </c>
      <c r="C72" s="165">
        <v>1231</v>
      </c>
      <c r="D72" s="165">
        <v>3614</v>
      </c>
      <c r="E72" s="165">
        <v>11636</v>
      </c>
      <c r="F72" s="165">
        <v>11751</v>
      </c>
      <c r="G72" s="165">
        <v>23030</v>
      </c>
      <c r="H72" s="165">
        <v>17363</v>
      </c>
      <c r="I72" s="166">
        <f t="shared" si="21"/>
        <v>-0.24607034303082931</v>
      </c>
      <c r="J72" s="165">
        <f t="shared" si="20"/>
        <v>-5667</v>
      </c>
      <c r="K72" s="166">
        <f t="shared" si="22"/>
        <v>1.0223212598191535E-3</v>
      </c>
      <c r="L72" s="81"/>
    </row>
    <row r="73" spans="1:12" x14ac:dyDescent="0.25">
      <c r="A73" s="163"/>
      <c r="B73" s="164" t="s">
        <v>121</v>
      </c>
      <c r="C73" s="165">
        <v>2635</v>
      </c>
      <c r="D73" s="165">
        <v>8757</v>
      </c>
      <c r="E73" s="165">
        <v>9377</v>
      </c>
      <c r="F73" s="165">
        <v>8945</v>
      </c>
      <c r="G73" s="165">
        <v>12849</v>
      </c>
      <c r="H73" s="165">
        <v>10064</v>
      </c>
      <c r="I73" s="166">
        <f t="shared" si="21"/>
        <v>-0.21674838508833372</v>
      </c>
      <c r="J73" s="165">
        <f t="shared" si="20"/>
        <v>-2785</v>
      </c>
      <c r="K73" s="166">
        <f t="shared" si="22"/>
        <v>5.9256126008293264E-4</v>
      </c>
      <c r="L73" s="81"/>
    </row>
    <row r="74" spans="1:12" x14ac:dyDescent="0.25">
      <c r="A74" s="163"/>
      <c r="B74" s="164" t="s">
        <v>130</v>
      </c>
      <c r="C74" s="165">
        <v>5452</v>
      </c>
      <c r="D74" s="165">
        <v>2</v>
      </c>
      <c r="E74" s="165">
        <v>7645</v>
      </c>
      <c r="F74" s="165">
        <v>22895</v>
      </c>
      <c r="G74" s="165">
        <v>17250</v>
      </c>
      <c r="H74" s="165">
        <v>10826</v>
      </c>
      <c r="I74" s="166">
        <f t="shared" si="21"/>
        <v>-0.37240579710144928</v>
      </c>
      <c r="J74" s="165">
        <f t="shared" si="20"/>
        <v>-6424</v>
      </c>
      <c r="K74" s="166">
        <f t="shared" si="22"/>
        <v>6.3742728553833753E-4</v>
      </c>
      <c r="L74" s="81"/>
    </row>
    <row r="75" spans="1:12" x14ac:dyDescent="0.25">
      <c r="A75" s="163" t="s">
        <v>146</v>
      </c>
      <c r="B75" s="164" t="s">
        <v>133</v>
      </c>
      <c r="C75" s="165">
        <v>4537</v>
      </c>
      <c r="D75" s="165">
        <v>0</v>
      </c>
      <c r="E75" s="165">
        <v>2547</v>
      </c>
      <c r="F75" s="165">
        <v>6644</v>
      </c>
      <c r="G75" s="165">
        <v>11802</v>
      </c>
      <c r="H75" s="165">
        <v>14473</v>
      </c>
      <c r="I75" s="166">
        <f t="shared" si="21"/>
        <v>0.22631757329266233</v>
      </c>
      <c r="J75" s="165">
        <f t="shared" si="20"/>
        <v>2671</v>
      </c>
      <c r="K75" s="166">
        <f t="shared" si="22"/>
        <v>8.5216008716020313E-4</v>
      </c>
      <c r="L75" s="81"/>
    </row>
    <row r="76" spans="1:12" x14ac:dyDescent="0.25">
      <c r="A76" s="163" t="s">
        <v>147</v>
      </c>
      <c r="B76" s="169" t="s">
        <v>147</v>
      </c>
      <c r="C76" s="170">
        <f t="shared" ref="C76" si="23">C68-SUM(C69:C75)</f>
        <v>31909</v>
      </c>
      <c r="D76" s="170">
        <f t="shared" ref="D76:H76" si="24">D68-SUM(D69:D75)</f>
        <v>44212</v>
      </c>
      <c r="E76" s="170">
        <f t="shared" si="24"/>
        <v>90066</v>
      </c>
      <c r="F76" s="170">
        <f t="shared" si="24"/>
        <v>149362</v>
      </c>
      <c r="G76" s="170">
        <f t="shared" si="24"/>
        <v>180124</v>
      </c>
      <c r="H76" s="170">
        <f t="shared" si="24"/>
        <v>119414</v>
      </c>
      <c r="I76" s="171">
        <f t="shared" si="21"/>
        <v>-0.33704559081521623</v>
      </c>
      <c r="J76" s="170">
        <f>H76-G76</f>
        <v>-60710</v>
      </c>
      <c r="K76" s="171">
        <f t="shared" si="22"/>
        <v>7.0310125508290262E-3</v>
      </c>
      <c r="L76" s="81"/>
    </row>
    <row r="77" spans="1:12" s="147" customFormat="1" x14ac:dyDescent="0.25">
      <c r="A77" s="163"/>
      <c r="B77" s="156" t="s">
        <v>50</v>
      </c>
      <c r="C77" s="154"/>
      <c r="D77" s="154"/>
      <c r="E77" s="154"/>
      <c r="F77" s="154"/>
      <c r="G77" s="154"/>
      <c r="H77" s="154"/>
      <c r="I77" s="154"/>
      <c r="J77" s="154"/>
      <c r="K77" s="154"/>
    </row>
    <row r="78" spans="1:12" x14ac:dyDescent="0.25">
      <c r="A78" s="163"/>
      <c r="B78" s="157" t="s">
        <v>70</v>
      </c>
      <c r="C78" s="177">
        <v>1142147</v>
      </c>
      <c r="D78" s="177">
        <v>301325</v>
      </c>
      <c r="E78" s="177">
        <v>1952510</v>
      </c>
      <c r="F78" s="177">
        <v>2421026</v>
      </c>
      <c r="G78" s="177">
        <v>2735886</v>
      </c>
      <c r="H78" s="177">
        <v>2729210</v>
      </c>
      <c r="I78" s="178">
        <f>IFERROR(H78/G78-1,"-")</f>
        <v>-2.4401601528718508E-3</v>
      </c>
      <c r="J78" s="177">
        <f>H78-G78</f>
        <v>-6676</v>
      </c>
      <c r="K78" s="178">
        <f>H78/H$8</f>
        <v>0.16069397025347185</v>
      </c>
      <c r="L78" s="81"/>
    </row>
    <row r="79" spans="1:12" x14ac:dyDescent="0.25">
      <c r="A79" s="163" t="s">
        <v>98</v>
      </c>
      <c r="B79" s="160" t="s">
        <v>99</v>
      </c>
      <c r="C79" s="161">
        <v>252645</v>
      </c>
      <c r="D79" s="161">
        <v>125619</v>
      </c>
      <c r="E79" s="161">
        <v>741151</v>
      </c>
      <c r="F79" s="161">
        <v>796409</v>
      </c>
      <c r="G79" s="161">
        <v>754640</v>
      </c>
      <c r="H79" s="161">
        <v>769911</v>
      </c>
      <c r="I79" s="162">
        <f>IFERROR(H79/G79-1,"-")</f>
        <v>2.0236139086186711E-2</v>
      </c>
      <c r="J79" s="161">
        <f t="shared" ref="J79:J89" si="25">H79-G79</f>
        <v>15271</v>
      </c>
      <c r="K79" s="162">
        <f>H79/H$8</f>
        <v>4.5331819585821817E-2</v>
      </c>
      <c r="L79" s="81"/>
    </row>
    <row r="80" spans="1:12" x14ac:dyDescent="0.25">
      <c r="A80" s="163" t="s">
        <v>105</v>
      </c>
      <c r="B80" s="164" t="s">
        <v>105</v>
      </c>
      <c r="C80" s="165">
        <v>22000</v>
      </c>
      <c r="D80" s="165">
        <v>43782</v>
      </c>
      <c r="E80" s="165">
        <v>99148</v>
      </c>
      <c r="F80" s="165">
        <v>122158</v>
      </c>
      <c r="G80" s="165">
        <v>124276</v>
      </c>
      <c r="H80" s="165">
        <v>94759</v>
      </c>
      <c r="I80" s="166">
        <f>IFERROR(H80/G80-1,"-")</f>
        <v>-0.2375116675786153</v>
      </c>
      <c r="J80" s="165">
        <f t="shared" si="25"/>
        <v>-29517</v>
      </c>
      <c r="K80" s="166">
        <f>H80/H$8</f>
        <v>5.5793434463631379E-3</v>
      </c>
      <c r="L80" s="81"/>
    </row>
    <row r="81" spans="1:12" x14ac:dyDescent="0.25">
      <c r="A81" s="163" t="s">
        <v>102</v>
      </c>
      <c r="B81" s="164" t="s">
        <v>102</v>
      </c>
      <c r="C81" s="165">
        <v>230645</v>
      </c>
      <c r="D81" s="165">
        <v>81837</v>
      </c>
      <c r="E81" s="165">
        <v>642003</v>
      </c>
      <c r="F81" s="165">
        <v>674251</v>
      </c>
      <c r="G81" s="165">
        <v>630364</v>
      </c>
      <c r="H81" s="165">
        <v>675152</v>
      </c>
      <c r="I81" s="166">
        <f>IFERROR(H81/G81-1,"-")</f>
        <v>7.1051011796358976E-2</v>
      </c>
      <c r="J81" s="165">
        <f t="shared" si="25"/>
        <v>44788</v>
      </c>
      <c r="K81" s="166">
        <f>H81/H$8</f>
        <v>3.9752476139458683E-2</v>
      </c>
      <c r="L81" s="81"/>
    </row>
    <row r="82" spans="1:12" x14ac:dyDescent="0.25">
      <c r="A82" s="163"/>
      <c r="B82" s="160" t="s">
        <v>109</v>
      </c>
      <c r="C82" s="161">
        <v>889502</v>
      </c>
      <c r="D82" s="161">
        <v>175706</v>
      </c>
      <c r="E82" s="161">
        <v>1211359</v>
      </c>
      <c r="F82" s="161">
        <v>1624617</v>
      </c>
      <c r="G82" s="161">
        <v>1981246</v>
      </c>
      <c r="H82" s="161">
        <v>1959299</v>
      </c>
      <c r="I82" s="162">
        <f>IFERROR(H82/G82-1,"-")</f>
        <v>-1.1077372522140139E-2</v>
      </c>
      <c r="J82" s="161">
        <f t="shared" si="25"/>
        <v>-21947</v>
      </c>
      <c r="K82" s="162">
        <f>H82/H$8</f>
        <v>0.11536215066765003</v>
      </c>
      <c r="L82" s="81"/>
    </row>
    <row r="83" spans="1:12" s="57" customFormat="1" x14ac:dyDescent="0.25">
      <c r="A83" s="163"/>
      <c r="B83" s="164" t="s">
        <v>112</v>
      </c>
      <c r="C83" s="165">
        <v>132162</v>
      </c>
      <c r="D83" s="165">
        <v>12940</v>
      </c>
      <c r="E83" s="165">
        <v>206326</v>
      </c>
      <c r="F83" s="165">
        <v>277847</v>
      </c>
      <c r="G83" s="165">
        <v>357910</v>
      </c>
      <c r="H83" s="165">
        <v>335919</v>
      </c>
      <c r="I83" s="166">
        <f t="shared" ref="I83:I90" si="26">IFERROR(H83/G83-1,"-")</f>
        <v>-6.1442820820876709E-2</v>
      </c>
      <c r="J83" s="165">
        <f t="shared" si="25"/>
        <v>-21991</v>
      </c>
      <c r="K83" s="166">
        <f t="shared" ref="K83:K90" si="27">H83/H$8</f>
        <v>1.977867507211831E-2</v>
      </c>
      <c r="L83" s="167"/>
    </row>
    <row r="84" spans="1:12" s="57" customFormat="1" x14ac:dyDescent="0.25">
      <c r="A84" s="163"/>
      <c r="B84" s="164" t="s">
        <v>115</v>
      </c>
      <c r="C84" s="165">
        <v>383453</v>
      </c>
      <c r="D84" s="165">
        <v>55052</v>
      </c>
      <c r="E84" s="165">
        <v>475887</v>
      </c>
      <c r="F84" s="165">
        <v>618828</v>
      </c>
      <c r="G84" s="165">
        <v>734192</v>
      </c>
      <c r="H84" s="165">
        <v>698671</v>
      </c>
      <c r="I84" s="166">
        <f t="shared" si="26"/>
        <v>-4.8381077429337283E-2</v>
      </c>
      <c r="J84" s="165">
        <f t="shared" si="25"/>
        <v>-35521</v>
      </c>
      <c r="K84" s="166">
        <f t="shared" si="27"/>
        <v>4.1137258360830944E-2</v>
      </c>
      <c r="L84" s="167"/>
    </row>
    <row r="85" spans="1:12" x14ac:dyDescent="0.25">
      <c r="A85" s="163"/>
      <c r="B85" s="164" t="s">
        <v>118</v>
      </c>
      <c r="C85" s="165">
        <v>35742</v>
      </c>
      <c r="D85" s="165">
        <v>25874</v>
      </c>
      <c r="E85" s="165">
        <v>85129</v>
      </c>
      <c r="F85" s="165">
        <v>118722</v>
      </c>
      <c r="G85" s="165">
        <v>183003</v>
      </c>
      <c r="H85" s="165">
        <v>187558</v>
      </c>
      <c r="I85" s="166">
        <f t="shared" si="26"/>
        <v>2.489030234477041E-2</v>
      </c>
      <c r="J85" s="165">
        <f t="shared" si="25"/>
        <v>4555</v>
      </c>
      <c r="K85" s="166">
        <f t="shared" si="27"/>
        <v>1.1043283467670377E-2</v>
      </c>
      <c r="L85" s="81"/>
    </row>
    <row r="86" spans="1:12" x14ac:dyDescent="0.25">
      <c r="A86" s="163"/>
      <c r="B86" s="164" t="s">
        <v>125</v>
      </c>
      <c r="C86" s="165">
        <v>10923</v>
      </c>
      <c r="D86" s="165">
        <v>2716</v>
      </c>
      <c r="E86" s="165">
        <v>30610</v>
      </c>
      <c r="F86" s="165">
        <v>32518</v>
      </c>
      <c r="G86" s="165">
        <v>49547</v>
      </c>
      <c r="H86" s="165">
        <v>51525</v>
      </c>
      <c r="I86" s="166">
        <f t="shared" si="26"/>
        <v>3.9921690516075747E-2</v>
      </c>
      <c r="J86" s="165">
        <f t="shared" si="25"/>
        <v>1978</v>
      </c>
      <c r="K86" s="166">
        <f t="shared" si="27"/>
        <v>3.0337558551046407E-3</v>
      </c>
      <c r="L86" s="81"/>
    </row>
    <row r="87" spans="1:12" x14ac:dyDescent="0.25">
      <c r="A87" s="163"/>
      <c r="B87" s="164" t="s">
        <v>121</v>
      </c>
      <c r="C87" s="165">
        <v>7617</v>
      </c>
      <c r="D87" s="165">
        <v>3448</v>
      </c>
      <c r="E87" s="165">
        <v>15714</v>
      </c>
      <c r="F87" s="165">
        <v>17545</v>
      </c>
      <c r="G87" s="165">
        <v>23533</v>
      </c>
      <c r="H87" s="165">
        <v>24832</v>
      </c>
      <c r="I87" s="166">
        <f t="shared" si="26"/>
        <v>5.519908213997371E-2</v>
      </c>
      <c r="J87" s="165">
        <f t="shared" si="25"/>
        <v>1299</v>
      </c>
      <c r="K87" s="166">
        <f t="shared" si="27"/>
        <v>1.4620907403000182E-3</v>
      </c>
      <c r="L87" s="81"/>
    </row>
    <row r="88" spans="1:12" x14ac:dyDescent="0.25">
      <c r="A88" s="163"/>
      <c r="B88" s="164" t="s">
        <v>130</v>
      </c>
      <c r="C88" s="165">
        <v>30187</v>
      </c>
      <c r="D88" s="165">
        <v>947</v>
      </c>
      <c r="E88" s="165">
        <v>29097</v>
      </c>
      <c r="F88" s="165">
        <v>47225</v>
      </c>
      <c r="G88" s="165">
        <v>42285</v>
      </c>
      <c r="H88" s="165">
        <v>42910</v>
      </c>
      <c r="I88" s="166">
        <f t="shared" si="26"/>
        <v>1.4780655078633131E-2</v>
      </c>
      <c r="J88" s="165">
        <f t="shared" si="25"/>
        <v>625</v>
      </c>
      <c r="K88" s="166">
        <f t="shared" si="27"/>
        <v>2.5265106985451749E-3</v>
      </c>
      <c r="L88" s="81"/>
    </row>
    <row r="89" spans="1:12" x14ac:dyDescent="0.25">
      <c r="A89" s="163" t="s">
        <v>146</v>
      </c>
      <c r="B89" s="164" t="s">
        <v>133</v>
      </c>
      <c r="C89" s="165">
        <v>48638</v>
      </c>
      <c r="D89" s="165">
        <v>3509</v>
      </c>
      <c r="E89" s="165">
        <v>26731</v>
      </c>
      <c r="F89" s="165">
        <v>47157</v>
      </c>
      <c r="G89" s="165">
        <v>50827</v>
      </c>
      <c r="H89" s="165">
        <v>39424</v>
      </c>
      <c r="I89" s="166">
        <f t="shared" si="26"/>
        <v>-0.22434926318688886</v>
      </c>
      <c r="J89" s="165">
        <f t="shared" si="25"/>
        <v>-11403</v>
      </c>
      <c r="K89" s="166">
        <f t="shared" si="27"/>
        <v>2.3212574639814723E-3</v>
      </c>
      <c r="L89" s="81"/>
    </row>
    <row r="90" spans="1:12" x14ac:dyDescent="0.25">
      <c r="A90" s="163" t="s">
        <v>147</v>
      </c>
      <c r="B90" s="169" t="s">
        <v>147</v>
      </c>
      <c r="C90" s="170">
        <f t="shared" ref="C90" si="28">C82-SUM(C83:C89)</f>
        <v>240780</v>
      </c>
      <c r="D90" s="170">
        <f t="shared" ref="D90:H90" si="29">D82-SUM(D83:D89)</f>
        <v>71220</v>
      </c>
      <c r="E90" s="170">
        <f t="shared" si="29"/>
        <v>341865</v>
      </c>
      <c r="F90" s="170">
        <f t="shared" si="29"/>
        <v>464775</v>
      </c>
      <c r="G90" s="170">
        <f t="shared" si="29"/>
        <v>539949</v>
      </c>
      <c r="H90" s="170">
        <f t="shared" si="29"/>
        <v>578460</v>
      </c>
      <c r="I90" s="171">
        <f t="shared" si="26"/>
        <v>7.1323402765816724E-2</v>
      </c>
      <c r="J90" s="170">
        <f>H90-G90</f>
        <v>38511</v>
      </c>
      <c r="K90" s="171">
        <f t="shared" si="27"/>
        <v>3.4059319009099087E-2</v>
      </c>
      <c r="L90" s="81"/>
    </row>
    <row r="91" spans="1:12" s="147" customFormat="1" x14ac:dyDescent="0.25">
      <c r="A91" s="163"/>
      <c r="B91" s="156" t="s">
        <v>51</v>
      </c>
      <c r="C91" s="154"/>
      <c r="D91" s="154"/>
      <c r="E91" s="154"/>
      <c r="F91" s="154"/>
      <c r="G91" s="154"/>
      <c r="H91" s="154"/>
      <c r="I91" s="154"/>
      <c r="J91" s="154"/>
      <c r="K91" s="154"/>
    </row>
    <row r="92" spans="1:12" x14ac:dyDescent="0.25">
      <c r="A92" s="163"/>
      <c r="B92" s="157" t="s">
        <v>70</v>
      </c>
      <c r="C92" s="177">
        <v>33659</v>
      </c>
      <c r="D92" s="177">
        <v>26038</v>
      </c>
      <c r="E92" s="177">
        <v>69048</v>
      </c>
      <c r="F92" s="177">
        <v>80076</v>
      </c>
      <c r="G92" s="177">
        <v>81078</v>
      </c>
      <c r="H92" s="177">
        <v>78508</v>
      </c>
      <c r="I92" s="178">
        <f>IFERROR(H92/G92-1,"-")</f>
        <v>-3.169787118577172E-2</v>
      </c>
      <c r="J92" s="177">
        <f>H92-G92</f>
        <v>-2570</v>
      </c>
      <c r="K92" s="178">
        <f>H92/H$8</f>
        <v>4.6224959664736562E-3</v>
      </c>
      <c r="L92" s="81"/>
    </row>
    <row r="93" spans="1:12" x14ac:dyDescent="0.25">
      <c r="A93" s="163" t="s">
        <v>98</v>
      </c>
      <c r="B93" s="160" t="s">
        <v>99</v>
      </c>
      <c r="C93" s="161">
        <v>13378</v>
      </c>
      <c r="D93" s="161">
        <v>13231</v>
      </c>
      <c r="E93" s="161">
        <v>33904</v>
      </c>
      <c r="F93" s="161">
        <v>37789</v>
      </c>
      <c r="G93" s="161">
        <v>32863</v>
      </c>
      <c r="H93" s="161">
        <v>34589</v>
      </c>
      <c r="I93" s="162">
        <f>IFERROR(H93/G93-1,"-")</f>
        <v>5.2521072330584451E-2</v>
      </c>
      <c r="J93" s="161">
        <f t="shared" ref="J93:J103" si="30">H93-G93</f>
        <v>1726</v>
      </c>
      <c r="K93" s="162">
        <f>H93/H$8</f>
        <v>2.0365760557440938E-3</v>
      </c>
      <c r="L93" s="81"/>
    </row>
    <row r="94" spans="1:12" x14ac:dyDescent="0.25">
      <c r="A94" s="163" t="s">
        <v>105</v>
      </c>
      <c r="B94" s="164" t="s">
        <v>105</v>
      </c>
      <c r="C94" s="165">
        <v>6425</v>
      </c>
      <c r="D94" s="165">
        <v>7411</v>
      </c>
      <c r="E94" s="165">
        <v>15076</v>
      </c>
      <c r="F94" s="165">
        <v>9333</v>
      </c>
      <c r="G94" s="165">
        <v>8218</v>
      </c>
      <c r="H94" s="165">
        <v>11547</v>
      </c>
      <c r="I94" s="166">
        <f>IFERROR(H94/G94-1,"-")</f>
        <v>0.40508639571671945</v>
      </c>
      <c r="J94" s="165">
        <f t="shared" si="30"/>
        <v>3329</v>
      </c>
      <c r="K94" s="166">
        <f>H94/H$8</f>
        <v>6.7987925975532824E-4</v>
      </c>
      <c r="L94" s="81"/>
    </row>
    <row r="95" spans="1:12" x14ac:dyDescent="0.25">
      <c r="A95" s="163" t="s">
        <v>102</v>
      </c>
      <c r="B95" s="164" t="s">
        <v>102</v>
      </c>
      <c r="C95" s="165">
        <v>6953</v>
      </c>
      <c r="D95" s="165">
        <v>5820</v>
      </c>
      <c r="E95" s="165">
        <v>18828</v>
      </c>
      <c r="F95" s="165">
        <v>28456</v>
      </c>
      <c r="G95" s="165">
        <v>24645</v>
      </c>
      <c r="H95" s="165">
        <v>23042</v>
      </c>
      <c r="I95" s="166">
        <f>IFERROR(H95/G95-1,"-")</f>
        <v>-6.504361939541492E-2</v>
      </c>
      <c r="J95" s="165">
        <f t="shared" si="30"/>
        <v>-1603</v>
      </c>
      <c r="K95" s="166">
        <f>H95/H$8</f>
        <v>1.3566967959887653E-3</v>
      </c>
      <c r="L95" s="81"/>
    </row>
    <row r="96" spans="1:12" x14ac:dyDescent="0.25">
      <c r="A96" s="163"/>
      <c r="B96" s="160" t="s">
        <v>109</v>
      </c>
      <c r="C96" s="161">
        <v>20281</v>
      </c>
      <c r="D96" s="161">
        <v>12807</v>
      </c>
      <c r="E96" s="161">
        <v>35144</v>
      </c>
      <c r="F96" s="161">
        <v>42287</v>
      </c>
      <c r="G96" s="161">
        <v>48215</v>
      </c>
      <c r="H96" s="161">
        <v>43919</v>
      </c>
      <c r="I96" s="162">
        <f>IFERROR(H96/G96-1,"-")</f>
        <v>-8.9100902208856136E-2</v>
      </c>
      <c r="J96" s="161">
        <f t="shared" si="30"/>
        <v>-4296</v>
      </c>
      <c r="K96" s="162">
        <f>H96/H$8</f>
        <v>2.5859199107295628E-3</v>
      </c>
      <c r="L96" s="81"/>
    </row>
    <row r="97" spans="1:12" s="57" customFormat="1" x14ac:dyDescent="0.25">
      <c r="A97" s="163"/>
      <c r="B97" s="164" t="s">
        <v>112</v>
      </c>
      <c r="C97" s="165">
        <v>4441</v>
      </c>
      <c r="D97" s="165">
        <v>349</v>
      </c>
      <c r="E97" s="165">
        <v>5018</v>
      </c>
      <c r="F97" s="165">
        <v>6758</v>
      </c>
      <c r="G97" s="165">
        <v>8020</v>
      </c>
      <c r="H97" s="165">
        <v>5925</v>
      </c>
      <c r="I97" s="166">
        <f t="shared" ref="I97:I104" si="31">IFERROR(H97/G97-1,"-")</f>
        <v>-0.26122194513715713</v>
      </c>
      <c r="J97" s="165">
        <f t="shared" si="30"/>
        <v>-2095</v>
      </c>
      <c r="K97" s="166">
        <f t="shared" ref="K97:K104" si="32">H97/H$8</f>
        <v>3.4885984360009698E-4</v>
      </c>
      <c r="L97" s="167"/>
    </row>
    <row r="98" spans="1:12" s="57" customFormat="1" x14ac:dyDescent="0.25">
      <c r="A98" s="163"/>
      <c r="B98" s="164" t="s">
        <v>115</v>
      </c>
      <c r="C98" s="165">
        <v>6467</v>
      </c>
      <c r="D98" s="165">
        <v>3892</v>
      </c>
      <c r="E98" s="165">
        <v>11276</v>
      </c>
      <c r="F98" s="165">
        <v>12995</v>
      </c>
      <c r="G98" s="165">
        <v>14949</v>
      </c>
      <c r="H98" s="165">
        <v>13487</v>
      </c>
      <c r="I98" s="166">
        <f t="shared" si="31"/>
        <v>-9.7799183891899122E-2</v>
      </c>
      <c r="J98" s="165">
        <f t="shared" si="30"/>
        <v>-1462</v>
      </c>
      <c r="K98" s="166">
        <f t="shared" si="32"/>
        <v>7.9410509884126723E-4</v>
      </c>
      <c r="L98" s="167"/>
    </row>
    <row r="99" spans="1:12" x14ac:dyDescent="0.25">
      <c r="A99" s="163"/>
      <c r="B99" s="164" t="s">
        <v>118</v>
      </c>
      <c r="C99" s="165">
        <v>2656</v>
      </c>
      <c r="D99" s="165">
        <v>3536</v>
      </c>
      <c r="E99" s="165">
        <v>4174</v>
      </c>
      <c r="F99" s="165">
        <v>4919</v>
      </c>
      <c r="G99" s="165">
        <v>5636</v>
      </c>
      <c r="H99" s="165">
        <v>5180</v>
      </c>
      <c r="I99" s="166">
        <f t="shared" si="31"/>
        <v>-8.0908445706174614E-2</v>
      </c>
      <c r="J99" s="165">
        <f t="shared" si="30"/>
        <v>-456</v>
      </c>
      <c r="K99" s="166">
        <f t="shared" si="32"/>
        <v>3.0499476621915654E-4</v>
      </c>
      <c r="L99" s="81"/>
    </row>
    <row r="100" spans="1:12" x14ac:dyDescent="0.25">
      <c r="A100" s="163"/>
      <c r="B100" s="164" t="s">
        <v>125</v>
      </c>
      <c r="C100" s="165">
        <v>839</v>
      </c>
      <c r="D100" s="165">
        <v>228</v>
      </c>
      <c r="E100" s="165">
        <v>2565</v>
      </c>
      <c r="F100" s="165">
        <v>2147</v>
      </c>
      <c r="G100" s="165">
        <v>2688</v>
      </c>
      <c r="H100" s="165">
        <v>1787</v>
      </c>
      <c r="I100" s="166">
        <f t="shared" si="31"/>
        <v>-0.33519345238095233</v>
      </c>
      <c r="J100" s="165">
        <f t="shared" si="30"/>
        <v>-901</v>
      </c>
      <c r="K100" s="166">
        <f t="shared" si="32"/>
        <v>1.0521730641575921E-4</v>
      </c>
      <c r="L100" s="81"/>
    </row>
    <row r="101" spans="1:12" x14ac:dyDescent="0.25">
      <c r="A101" s="163"/>
      <c r="B101" s="164" t="s">
        <v>121</v>
      </c>
      <c r="C101" s="165">
        <v>294</v>
      </c>
      <c r="D101" s="165">
        <v>411</v>
      </c>
      <c r="E101" s="165">
        <v>1072</v>
      </c>
      <c r="F101" s="165">
        <v>875</v>
      </c>
      <c r="G101" s="165">
        <v>1340</v>
      </c>
      <c r="H101" s="165">
        <v>1609</v>
      </c>
      <c r="I101" s="166">
        <f t="shared" si="31"/>
        <v>0.20074626865671652</v>
      </c>
      <c r="J101" s="165">
        <f t="shared" si="30"/>
        <v>269</v>
      </c>
      <c r="K101" s="166">
        <f t="shared" si="32"/>
        <v>9.4736791283131828E-5</v>
      </c>
      <c r="L101" s="81"/>
    </row>
    <row r="102" spans="1:12" x14ac:dyDescent="0.25">
      <c r="A102" s="163"/>
      <c r="B102" s="164" t="s">
        <v>130</v>
      </c>
      <c r="C102" s="165">
        <v>565</v>
      </c>
      <c r="D102" s="165">
        <v>38</v>
      </c>
      <c r="E102" s="165">
        <v>523</v>
      </c>
      <c r="F102" s="165">
        <v>243</v>
      </c>
      <c r="G102" s="165">
        <v>547</v>
      </c>
      <c r="H102" s="165">
        <v>310</v>
      </c>
      <c r="I102" s="166">
        <f t="shared" si="31"/>
        <v>-0.43327239488116998</v>
      </c>
      <c r="J102" s="165">
        <f t="shared" si="30"/>
        <v>-237</v>
      </c>
      <c r="K102" s="166">
        <f t="shared" si="32"/>
        <v>1.8252582534351066E-5</v>
      </c>
      <c r="L102" s="81"/>
    </row>
    <row r="103" spans="1:12" x14ac:dyDescent="0.25">
      <c r="A103" s="163" t="s">
        <v>146</v>
      </c>
      <c r="B103" s="164" t="s">
        <v>133</v>
      </c>
      <c r="C103" s="165">
        <v>210</v>
      </c>
      <c r="D103" s="165">
        <v>111</v>
      </c>
      <c r="E103" s="165">
        <v>217</v>
      </c>
      <c r="F103" s="165">
        <v>577</v>
      </c>
      <c r="G103" s="165">
        <v>822</v>
      </c>
      <c r="H103" s="165">
        <v>433</v>
      </c>
      <c r="I103" s="166">
        <f t="shared" si="31"/>
        <v>-0.47323600973236013</v>
      </c>
      <c r="J103" s="165">
        <f t="shared" si="30"/>
        <v>-389</v>
      </c>
      <c r="K103" s="166">
        <f t="shared" si="32"/>
        <v>2.5494736249593586E-5</v>
      </c>
      <c r="L103" s="81"/>
    </row>
    <row r="104" spans="1:12" x14ac:dyDescent="0.25">
      <c r="A104" s="163" t="s">
        <v>147</v>
      </c>
      <c r="B104" s="169" t="s">
        <v>147</v>
      </c>
      <c r="C104" s="170">
        <f t="shared" ref="C104" si="33">C96-SUM(C97:C103)</f>
        <v>4809</v>
      </c>
      <c r="D104" s="170">
        <f t="shared" ref="D104:H104" si="34">D96-SUM(D97:D103)</f>
        <v>4242</v>
      </c>
      <c r="E104" s="170">
        <f t="shared" si="34"/>
        <v>10299</v>
      </c>
      <c r="F104" s="170">
        <f t="shared" si="34"/>
        <v>13773</v>
      </c>
      <c r="G104" s="170">
        <f t="shared" si="34"/>
        <v>14213</v>
      </c>
      <c r="H104" s="170">
        <f t="shared" si="34"/>
        <v>15188</v>
      </c>
      <c r="I104" s="171">
        <f t="shared" si="31"/>
        <v>6.859916977415037E-2</v>
      </c>
      <c r="J104" s="170">
        <f>H104-G104</f>
        <v>975</v>
      </c>
      <c r="K104" s="171">
        <f t="shared" si="32"/>
        <v>8.9425878558620643E-4</v>
      </c>
      <c r="L104" s="81"/>
    </row>
    <row r="105" spans="1:12" s="147" customFormat="1" x14ac:dyDescent="0.25">
      <c r="A105" s="163"/>
      <c r="B105" s="156" t="s">
        <v>52</v>
      </c>
      <c r="C105" s="154"/>
      <c r="D105" s="154"/>
      <c r="E105" s="154"/>
      <c r="F105" s="154"/>
      <c r="G105" s="154"/>
      <c r="H105" s="154"/>
      <c r="I105" s="154"/>
      <c r="J105" s="154"/>
      <c r="K105" s="154"/>
    </row>
    <row r="106" spans="1:12" x14ac:dyDescent="0.25">
      <c r="A106" s="163"/>
      <c r="B106" s="157" t="s">
        <v>70</v>
      </c>
      <c r="C106" s="177">
        <v>248643</v>
      </c>
      <c r="D106" s="177">
        <v>197056</v>
      </c>
      <c r="E106" s="177">
        <v>616496</v>
      </c>
      <c r="F106" s="177">
        <v>677250</v>
      </c>
      <c r="G106" s="177">
        <v>706701</v>
      </c>
      <c r="H106" s="177">
        <v>709471</v>
      </c>
      <c r="I106" s="178">
        <f>IFERROR(H106/G106-1,"-")</f>
        <v>3.9196208863436777E-3</v>
      </c>
      <c r="J106" s="177">
        <f>H106-G106</f>
        <v>2770</v>
      </c>
      <c r="K106" s="178">
        <f>H106/H$8</f>
        <v>4.1773154784608336E-2</v>
      </c>
      <c r="L106" s="81"/>
    </row>
    <row r="107" spans="1:12" x14ac:dyDescent="0.25">
      <c r="A107" s="163" t="s">
        <v>98</v>
      </c>
      <c r="B107" s="160" t="s">
        <v>99</v>
      </c>
      <c r="C107" s="161">
        <v>42776</v>
      </c>
      <c r="D107" s="161">
        <v>69110</v>
      </c>
      <c r="E107" s="161">
        <v>72454</v>
      </c>
      <c r="F107" s="161">
        <v>92875</v>
      </c>
      <c r="G107" s="161">
        <v>92141</v>
      </c>
      <c r="H107" s="161">
        <v>98264</v>
      </c>
      <c r="I107" s="162">
        <f>IFERROR(H107/G107-1,"-")</f>
        <v>6.6452502143454106E-2</v>
      </c>
      <c r="J107" s="161">
        <f t="shared" ref="J107:J117" si="35">H107-G107</f>
        <v>6123</v>
      </c>
      <c r="K107" s="162">
        <f>H107/H$8</f>
        <v>5.7857153875983001E-3</v>
      </c>
      <c r="L107" s="81"/>
    </row>
    <row r="108" spans="1:12" x14ac:dyDescent="0.25">
      <c r="A108" s="163" t="s">
        <v>105</v>
      </c>
      <c r="B108" s="164" t="s">
        <v>105</v>
      </c>
      <c r="C108" s="165">
        <v>3635</v>
      </c>
      <c r="D108" s="165">
        <v>51412</v>
      </c>
      <c r="E108" s="165">
        <v>28398</v>
      </c>
      <c r="F108" s="165">
        <v>27771</v>
      </c>
      <c r="G108" s="165">
        <v>20310</v>
      </c>
      <c r="H108" s="165">
        <v>33988</v>
      </c>
      <c r="I108" s="166">
        <f>IFERROR(H108/G108-1,"-")</f>
        <v>0.67346134908911859</v>
      </c>
      <c r="J108" s="165">
        <f t="shared" si="35"/>
        <v>13678</v>
      </c>
      <c r="K108" s="166">
        <f>H108/H$8</f>
        <v>2.0011895973468517E-3</v>
      </c>
      <c r="L108" s="81"/>
    </row>
    <row r="109" spans="1:12" x14ac:dyDescent="0.25">
      <c r="A109" s="163" t="s">
        <v>102</v>
      </c>
      <c r="B109" s="164" t="s">
        <v>102</v>
      </c>
      <c r="C109" s="165">
        <v>39141</v>
      </c>
      <c r="D109" s="165">
        <v>17698</v>
      </c>
      <c r="E109" s="165">
        <v>44056</v>
      </c>
      <c r="F109" s="165">
        <v>65104</v>
      </c>
      <c r="G109" s="165">
        <v>71831</v>
      </c>
      <c r="H109" s="165">
        <v>64276</v>
      </c>
      <c r="I109" s="166">
        <f>IFERROR(H109/G109-1,"-")</f>
        <v>-0.1051774303573666</v>
      </c>
      <c r="J109" s="165">
        <f t="shared" si="35"/>
        <v>-7555</v>
      </c>
      <c r="K109" s="166">
        <f>H109/H$8</f>
        <v>3.7845257902514489E-3</v>
      </c>
      <c r="L109" s="81"/>
    </row>
    <row r="110" spans="1:12" x14ac:dyDescent="0.25">
      <c r="A110" s="163"/>
      <c r="B110" s="160" t="s">
        <v>109</v>
      </c>
      <c r="C110" s="161">
        <v>205867</v>
      </c>
      <c r="D110" s="161">
        <v>127946</v>
      </c>
      <c r="E110" s="161">
        <v>544042</v>
      </c>
      <c r="F110" s="161">
        <v>584375</v>
      </c>
      <c r="G110" s="161">
        <v>614560</v>
      </c>
      <c r="H110" s="161">
        <v>611207</v>
      </c>
      <c r="I110" s="162">
        <f>IFERROR(H110/G110-1,"-")</f>
        <v>-5.4559359541785923E-3</v>
      </c>
      <c r="J110" s="161">
        <f t="shared" si="35"/>
        <v>-3353</v>
      </c>
      <c r="K110" s="162">
        <f>H110/H$8</f>
        <v>3.5987439397010039E-2</v>
      </c>
      <c r="L110" s="81"/>
    </row>
    <row r="111" spans="1:12" s="57" customFormat="1" x14ac:dyDescent="0.25">
      <c r="A111" s="163"/>
      <c r="B111" s="164" t="s">
        <v>112</v>
      </c>
      <c r="C111" s="165">
        <v>117809</v>
      </c>
      <c r="D111" s="165">
        <v>27862</v>
      </c>
      <c r="E111" s="165">
        <v>330861</v>
      </c>
      <c r="F111" s="165">
        <v>355701</v>
      </c>
      <c r="G111" s="165">
        <v>361764</v>
      </c>
      <c r="H111" s="165">
        <v>342110</v>
      </c>
      <c r="I111" s="166">
        <f t="shared" ref="I111:I118" si="36">IFERROR(H111/G111-1,"-")</f>
        <v>-5.4328236087615167E-2</v>
      </c>
      <c r="J111" s="165">
        <f t="shared" si="35"/>
        <v>-19654</v>
      </c>
      <c r="K111" s="166">
        <f t="shared" ref="K111:K118" si="37">H111/H$8</f>
        <v>2.014319680911885E-2</v>
      </c>
      <c r="L111" s="167"/>
    </row>
    <row r="112" spans="1:12" s="57" customFormat="1" x14ac:dyDescent="0.25">
      <c r="A112" s="163"/>
      <c r="B112" s="164" t="s">
        <v>115</v>
      </c>
      <c r="C112" s="165">
        <v>14803</v>
      </c>
      <c r="D112" s="165">
        <v>27807</v>
      </c>
      <c r="E112" s="165">
        <v>24707</v>
      </c>
      <c r="F112" s="165">
        <v>34456</v>
      </c>
      <c r="G112" s="165">
        <v>29435</v>
      </c>
      <c r="H112" s="165">
        <v>35964</v>
      </c>
      <c r="I112" s="166">
        <f t="shared" si="36"/>
        <v>0.22181076949210121</v>
      </c>
      <c r="J112" s="165">
        <f t="shared" si="35"/>
        <v>6529</v>
      </c>
      <c r="K112" s="166">
        <f t="shared" si="37"/>
        <v>2.1175350911787154E-3</v>
      </c>
      <c r="L112" s="167"/>
    </row>
    <row r="113" spans="1:12" x14ac:dyDescent="0.25">
      <c r="A113" s="163"/>
      <c r="B113" s="164" t="s">
        <v>118</v>
      </c>
      <c r="C113" s="165">
        <v>7410</v>
      </c>
      <c r="D113" s="165">
        <v>26721</v>
      </c>
      <c r="E113" s="165">
        <v>31578</v>
      </c>
      <c r="F113" s="165">
        <v>44537</v>
      </c>
      <c r="G113" s="165">
        <v>36150</v>
      </c>
      <c r="H113" s="165">
        <v>55668</v>
      </c>
      <c r="I113" s="166">
        <f t="shared" si="36"/>
        <v>0.53991701244813273</v>
      </c>
      <c r="J113" s="165">
        <f t="shared" si="35"/>
        <v>19518</v>
      </c>
      <c r="K113" s="166">
        <f t="shared" si="37"/>
        <v>3.2776927887814681E-3</v>
      </c>
      <c r="L113" s="81"/>
    </row>
    <row r="114" spans="1:12" x14ac:dyDescent="0.25">
      <c r="A114" s="163"/>
      <c r="B114" s="164" t="s">
        <v>125</v>
      </c>
      <c r="C114" s="165">
        <v>4179</v>
      </c>
      <c r="D114" s="165">
        <v>6028</v>
      </c>
      <c r="E114" s="165">
        <v>24518</v>
      </c>
      <c r="F114" s="165">
        <v>18718</v>
      </c>
      <c r="G114" s="165">
        <v>22104</v>
      </c>
      <c r="H114" s="165">
        <v>21396</v>
      </c>
      <c r="I114" s="166">
        <f t="shared" si="36"/>
        <v>-3.2030401737242142E-2</v>
      </c>
      <c r="J114" s="165">
        <f t="shared" si="35"/>
        <v>-708</v>
      </c>
      <c r="K114" s="166">
        <f t="shared" si="37"/>
        <v>1.2597814706612109E-3</v>
      </c>
      <c r="L114" s="81"/>
    </row>
    <row r="115" spans="1:12" x14ac:dyDescent="0.25">
      <c r="A115" s="163"/>
      <c r="B115" s="164" t="s">
        <v>121</v>
      </c>
      <c r="C115" s="165">
        <v>5827</v>
      </c>
      <c r="D115" s="165">
        <v>9975</v>
      </c>
      <c r="E115" s="165">
        <v>22305</v>
      </c>
      <c r="F115" s="165">
        <v>16523</v>
      </c>
      <c r="G115" s="165">
        <v>16190</v>
      </c>
      <c r="H115" s="165">
        <v>17300</v>
      </c>
      <c r="I115" s="166">
        <f t="shared" si="36"/>
        <v>6.8560840024706637E-2</v>
      </c>
      <c r="J115" s="165">
        <f t="shared" si="35"/>
        <v>1110</v>
      </c>
      <c r="K115" s="166">
        <f t="shared" si="37"/>
        <v>1.0186118640137852E-3</v>
      </c>
      <c r="L115" s="81"/>
    </row>
    <row r="116" spans="1:12" x14ac:dyDescent="0.25">
      <c r="A116" s="163"/>
      <c r="B116" s="164" t="s">
        <v>130</v>
      </c>
      <c r="C116" s="165">
        <v>2277</v>
      </c>
      <c r="D116" s="165">
        <v>53</v>
      </c>
      <c r="E116" s="165">
        <v>3482</v>
      </c>
      <c r="F116" s="165">
        <v>5193</v>
      </c>
      <c r="G116" s="165">
        <v>9754</v>
      </c>
      <c r="H116" s="165">
        <v>5843</v>
      </c>
      <c r="I116" s="166">
        <f t="shared" si="36"/>
        <v>-0.40096370719704733</v>
      </c>
      <c r="J116" s="165">
        <f t="shared" si="35"/>
        <v>-3911</v>
      </c>
      <c r="K116" s="166">
        <f t="shared" si="37"/>
        <v>3.4403174112326862E-4</v>
      </c>
      <c r="L116" s="81"/>
    </row>
    <row r="117" spans="1:12" x14ac:dyDescent="0.25">
      <c r="A117" s="163" t="s">
        <v>146</v>
      </c>
      <c r="B117" s="164" t="s">
        <v>133</v>
      </c>
      <c r="C117" s="165">
        <v>7210</v>
      </c>
      <c r="D117" s="165">
        <v>97</v>
      </c>
      <c r="E117" s="165">
        <v>5216</v>
      </c>
      <c r="F117" s="165">
        <v>4173</v>
      </c>
      <c r="G117" s="165">
        <v>8486</v>
      </c>
      <c r="H117" s="165">
        <v>4916</v>
      </c>
      <c r="I117" s="166">
        <f t="shared" si="36"/>
        <v>-0.42069290596276221</v>
      </c>
      <c r="J117" s="165">
        <f t="shared" si="35"/>
        <v>-3570</v>
      </c>
      <c r="K117" s="166">
        <f t="shared" si="37"/>
        <v>2.8945063141570918E-4</v>
      </c>
      <c r="L117" s="81"/>
    </row>
    <row r="118" spans="1:12" x14ac:dyDescent="0.25">
      <c r="A118" s="163" t="s">
        <v>147</v>
      </c>
      <c r="B118" s="169" t="s">
        <v>147</v>
      </c>
      <c r="C118" s="170">
        <f t="shared" ref="C118" si="38">C110-SUM(C111:C117)</f>
        <v>46352</v>
      </c>
      <c r="D118" s="170">
        <f t="shared" ref="D118:H118" si="39">D110-SUM(D111:D117)</f>
        <v>29403</v>
      </c>
      <c r="E118" s="170">
        <f t="shared" si="39"/>
        <v>101375</v>
      </c>
      <c r="F118" s="170">
        <f t="shared" si="39"/>
        <v>105074</v>
      </c>
      <c r="G118" s="170">
        <f t="shared" si="39"/>
        <v>130677</v>
      </c>
      <c r="H118" s="170">
        <f t="shared" si="39"/>
        <v>128010</v>
      </c>
      <c r="I118" s="171">
        <f t="shared" si="36"/>
        <v>-2.0409100300741501E-2</v>
      </c>
      <c r="J118" s="170">
        <f>H118-G118</f>
        <v>-2667</v>
      </c>
      <c r="K118" s="171">
        <f t="shared" si="37"/>
        <v>7.5371390007170323E-3</v>
      </c>
      <c r="L118" s="81"/>
    </row>
    <row r="119" spans="1:12" s="147" customFormat="1" x14ac:dyDescent="0.25">
      <c r="A119" s="163"/>
      <c r="B119" s="156" t="s">
        <v>53</v>
      </c>
      <c r="C119" s="154"/>
      <c r="D119" s="154"/>
      <c r="E119" s="154"/>
      <c r="F119" s="154"/>
      <c r="G119" s="154"/>
      <c r="H119" s="154"/>
      <c r="I119" s="154"/>
      <c r="J119" s="154"/>
      <c r="K119" s="154"/>
    </row>
    <row r="120" spans="1:12" x14ac:dyDescent="0.25">
      <c r="A120" s="163"/>
      <c r="B120" s="157" t="s">
        <v>70</v>
      </c>
      <c r="C120" s="177">
        <v>118261</v>
      </c>
      <c r="D120" s="177">
        <v>116916</v>
      </c>
      <c r="E120" s="177">
        <v>257944</v>
      </c>
      <c r="F120" s="177">
        <v>294093</v>
      </c>
      <c r="G120" s="177">
        <v>301774</v>
      </c>
      <c r="H120" s="177">
        <v>301669</v>
      </c>
      <c r="I120" s="178">
        <f>IFERROR(H120/G120-1,"-")</f>
        <v>-3.4794250001657367E-4</v>
      </c>
      <c r="J120" s="177">
        <f>H120-G120</f>
        <v>-105</v>
      </c>
      <c r="K120" s="178">
        <f>H120/H$8</f>
        <v>1.7762059098565007E-2</v>
      </c>
      <c r="L120" s="81"/>
    </row>
    <row r="121" spans="1:12" x14ac:dyDescent="0.25">
      <c r="A121" s="163" t="s">
        <v>98</v>
      </c>
      <c r="B121" s="160" t="s">
        <v>99</v>
      </c>
      <c r="C121" s="161">
        <v>50965</v>
      </c>
      <c r="D121" s="161">
        <v>71639</v>
      </c>
      <c r="E121" s="161">
        <v>127914</v>
      </c>
      <c r="F121" s="161">
        <v>154628</v>
      </c>
      <c r="G121" s="161">
        <v>151013</v>
      </c>
      <c r="H121" s="161">
        <v>166691</v>
      </c>
      <c r="I121" s="162">
        <f>IFERROR(H121/G121-1,"-")</f>
        <v>0.10381887652056454</v>
      </c>
      <c r="J121" s="161">
        <f t="shared" ref="J121:J131" si="40">H121-G121</f>
        <v>15678</v>
      </c>
      <c r="K121" s="162">
        <f>H121/H$8</f>
        <v>9.8146491459145599E-3</v>
      </c>
      <c r="L121" s="81"/>
    </row>
    <row r="122" spans="1:12" x14ac:dyDescent="0.25">
      <c r="A122" s="163" t="s">
        <v>105</v>
      </c>
      <c r="B122" s="164" t="s">
        <v>105</v>
      </c>
      <c r="C122" s="165">
        <v>23473</v>
      </c>
      <c r="D122" s="165">
        <v>34847</v>
      </c>
      <c r="E122" s="165">
        <v>58276</v>
      </c>
      <c r="F122" s="165">
        <v>65154</v>
      </c>
      <c r="G122" s="165">
        <v>61289</v>
      </c>
      <c r="H122" s="165">
        <v>74048</v>
      </c>
      <c r="I122" s="166">
        <f>IFERROR(H122/G122-1,"-")</f>
        <v>0.20817765014929268</v>
      </c>
      <c r="J122" s="165">
        <f t="shared" si="40"/>
        <v>12759</v>
      </c>
      <c r="K122" s="166">
        <f>H122/H$8</f>
        <v>4.3598942951729924E-3</v>
      </c>
      <c r="L122" s="81"/>
    </row>
    <row r="123" spans="1:12" x14ac:dyDescent="0.25">
      <c r="A123" s="163" t="s">
        <v>102</v>
      </c>
      <c r="B123" s="164" t="s">
        <v>102</v>
      </c>
      <c r="C123" s="165">
        <v>27492</v>
      </c>
      <c r="D123" s="165">
        <v>36792</v>
      </c>
      <c r="E123" s="165">
        <v>69638</v>
      </c>
      <c r="F123" s="165">
        <v>89474</v>
      </c>
      <c r="G123" s="165">
        <v>89724</v>
      </c>
      <c r="H123" s="165">
        <v>92643</v>
      </c>
      <c r="I123" s="166">
        <f>IFERROR(H123/G123-1,"-")</f>
        <v>3.2533101511301288E-2</v>
      </c>
      <c r="J123" s="165">
        <f t="shared" si="40"/>
        <v>2919</v>
      </c>
      <c r="K123" s="166">
        <f>H123/H$8</f>
        <v>5.4547548507415675E-3</v>
      </c>
      <c r="L123" s="81"/>
    </row>
    <row r="124" spans="1:12" x14ac:dyDescent="0.25">
      <c r="A124" s="163"/>
      <c r="B124" s="160" t="s">
        <v>109</v>
      </c>
      <c r="C124" s="161">
        <v>67296</v>
      </c>
      <c r="D124" s="161">
        <v>45277</v>
      </c>
      <c r="E124" s="161">
        <v>130030</v>
      </c>
      <c r="F124" s="161">
        <v>139465</v>
      </c>
      <c r="G124" s="161">
        <v>150761</v>
      </c>
      <c r="H124" s="161">
        <v>134978</v>
      </c>
      <c r="I124" s="162">
        <f>IFERROR(H124/G124-1,"-")</f>
        <v>-0.10468887842346497</v>
      </c>
      <c r="J124" s="161">
        <f t="shared" si="40"/>
        <v>-15783</v>
      </c>
      <c r="K124" s="162">
        <f>H124/H$8</f>
        <v>7.9474099526504454E-3</v>
      </c>
      <c r="L124" s="81"/>
    </row>
    <row r="125" spans="1:12" s="57" customFormat="1" x14ac:dyDescent="0.25">
      <c r="A125" s="163"/>
      <c r="B125" s="164" t="s">
        <v>112</v>
      </c>
      <c r="C125" s="165">
        <v>8916</v>
      </c>
      <c r="D125" s="165">
        <v>1857</v>
      </c>
      <c r="E125" s="165">
        <v>16908</v>
      </c>
      <c r="F125" s="165">
        <v>17121</v>
      </c>
      <c r="G125" s="165">
        <v>21680</v>
      </c>
      <c r="H125" s="165">
        <v>16383</v>
      </c>
      <c r="I125" s="166">
        <f t="shared" ref="I125:I132" si="41">IFERROR(H125/G125-1,"-")</f>
        <v>-0.24432656826568266</v>
      </c>
      <c r="J125" s="165">
        <f t="shared" si="40"/>
        <v>-5297</v>
      </c>
      <c r="K125" s="166">
        <f t="shared" ref="K125:K132" si="42">H125/H$8</f>
        <v>9.6461954729120487E-4</v>
      </c>
      <c r="L125" s="167"/>
    </row>
    <row r="126" spans="1:12" s="57" customFormat="1" x14ac:dyDescent="0.25">
      <c r="A126" s="163"/>
      <c r="B126" s="164" t="s">
        <v>115</v>
      </c>
      <c r="C126" s="165">
        <v>8926</v>
      </c>
      <c r="D126" s="165">
        <v>4845</v>
      </c>
      <c r="E126" s="165">
        <v>16067</v>
      </c>
      <c r="F126" s="165">
        <v>22538</v>
      </c>
      <c r="G126" s="165">
        <v>22392</v>
      </c>
      <c r="H126" s="165">
        <v>21635</v>
      </c>
      <c r="I126" s="166">
        <f t="shared" si="41"/>
        <v>-3.3806716684530169E-2</v>
      </c>
      <c r="J126" s="165">
        <f t="shared" si="40"/>
        <v>-757</v>
      </c>
      <c r="K126" s="166">
        <f t="shared" si="42"/>
        <v>1.2738536230022107E-3</v>
      </c>
      <c r="L126" s="167"/>
    </row>
    <row r="127" spans="1:12" x14ac:dyDescent="0.25">
      <c r="A127" s="163"/>
      <c r="B127" s="164" t="s">
        <v>118</v>
      </c>
      <c r="C127" s="165">
        <v>4918</v>
      </c>
      <c r="D127" s="165">
        <v>6774</v>
      </c>
      <c r="E127" s="165">
        <v>11413</v>
      </c>
      <c r="F127" s="165">
        <v>13936</v>
      </c>
      <c r="G127" s="165">
        <v>12912</v>
      </c>
      <c r="H127" s="165">
        <v>10908</v>
      </c>
      <c r="I127" s="166">
        <f t="shared" si="41"/>
        <v>-0.15520446096654272</v>
      </c>
      <c r="J127" s="165">
        <f t="shared" si="40"/>
        <v>-2004</v>
      </c>
      <c r="K127" s="166">
        <f t="shared" si="42"/>
        <v>6.4225538801516589E-4</v>
      </c>
      <c r="L127" s="81"/>
    </row>
    <row r="128" spans="1:12" x14ac:dyDescent="0.25">
      <c r="A128" s="163"/>
      <c r="B128" s="164" t="s">
        <v>125</v>
      </c>
      <c r="C128" s="165">
        <v>1311</v>
      </c>
      <c r="D128" s="165">
        <v>640</v>
      </c>
      <c r="E128" s="165">
        <v>3239</v>
      </c>
      <c r="F128" s="165">
        <v>3269</v>
      </c>
      <c r="G128" s="165">
        <v>3704</v>
      </c>
      <c r="H128" s="165">
        <v>3821</v>
      </c>
      <c r="I128" s="166">
        <f t="shared" si="41"/>
        <v>3.1587473002159916E-2</v>
      </c>
      <c r="J128" s="165">
        <f t="shared" si="40"/>
        <v>117</v>
      </c>
      <c r="K128" s="166">
        <f t="shared" si="42"/>
        <v>2.2497779956050137E-4</v>
      </c>
      <c r="L128" s="81"/>
    </row>
    <row r="129" spans="1:12" x14ac:dyDescent="0.25">
      <c r="A129" s="163"/>
      <c r="B129" s="164" t="s">
        <v>121</v>
      </c>
      <c r="C129" s="165">
        <v>1120</v>
      </c>
      <c r="D129" s="165">
        <v>643</v>
      </c>
      <c r="E129" s="165">
        <v>2327</v>
      </c>
      <c r="F129" s="165">
        <v>2889</v>
      </c>
      <c r="G129" s="165">
        <v>2976</v>
      </c>
      <c r="H129" s="165">
        <v>2890</v>
      </c>
      <c r="I129" s="166">
        <f t="shared" si="41"/>
        <v>-2.8897849462365621E-2</v>
      </c>
      <c r="J129" s="165">
        <f t="shared" si="40"/>
        <v>-86</v>
      </c>
      <c r="K129" s="166">
        <f t="shared" si="42"/>
        <v>1.7016117265895026E-4</v>
      </c>
      <c r="L129" s="81"/>
    </row>
    <row r="130" spans="1:12" x14ac:dyDescent="0.25">
      <c r="A130" s="163"/>
      <c r="B130" s="164" t="s">
        <v>130</v>
      </c>
      <c r="C130" s="165">
        <v>1580</v>
      </c>
      <c r="D130" s="165">
        <v>70</v>
      </c>
      <c r="E130" s="165">
        <v>1460</v>
      </c>
      <c r="F130" s="165">
        <v>1881</v>
      </c>
      <c r="G130" s="165">
        <v>2514</v>
      </c>
      <c r="H130" s="165">
        <v>1669</v>
      </c>
      <c r="I130" s="166">
        <f t="shared" si="41"/>
        <v>-0.3361177406523469</v>
      </c>
      <c r="J130" s="165">
        <f t="shared" si="40"/>
        <v>-845</v>
      </c>
      <c r="K130" s="166">
        <f t="shared" si="42"/>
        <v>9.8269549193006221E-5</v>
      </c>
      <c r="L130" s="81"/>
    </row>
    <row r="131" spans="1:12" x14ac:dyDescent="0.25">
      <c r="A131" s="163" t="s">
        <v>146</v>
      </c>
      <c r="B131" s="164" t="s">
        <v>133</v>
      </c>
      <c r="C131" s="165">
        <v>1898</v>
      </c>
      <c r="D131" s="165">
        <v>319</v>
      </c>
      <c r="E131" s="165">
        <v>2371</v>
      </c>
      <c r="F131" s="165">
        <v>2821</v>
      </c>
      <c r="G131" s="165">
        <v>3103</v>
      </c>
      <c r="H131" s="165">
        <v>2618</v>
      </c>
      <c r="I131" s="166">
        <f t="shared" si="41"/>
        <v>-0.15630035449564939</v>
      </c>
      <c r="J131" s="165">
        <f t="shared" si="40"/>
        <v>-485</v>
      </c>
      <c r="K131" s="166">
        <f t="shared" si="42"/>
        <v>1.5414600346751964E-4</v>
      </c>
      <c r="L131" s="81"/>
    </row>
    <row r="132" spans="1:12" x14ac:dyDescent="0.25">
      <c r="A132" s="163" t="s">
        <v>147</v>
      </c>
      <c r="B132" s="169" t="s">
        <v>147</v>
      </c>
      <c r="C132" s="170">
        <f t="shared" ref="C132" si="43">C124-SUM(C125:C131)</f>
        <v>38627</v>
      </c>
      <c r="D132" s="170">
        <f t="shared" ref="D132:H132" si="44">D124-SUM(D125:D131)</f>
        <v>30129</v>
      </c>
      <c r="E132" s="170">
        <f t="shared" si="44"/>
        <v>76245</v>
      </c>
      <c r="F132" s="170">
        <f t="shared" si="44"/>
        <v>75010</v>
      </c>
      <c r="G132" s="170">
        <f t="shared" si="44"/>
        <v>81480</v>
      </c>
      <c r="H132" s="170">
        <f t="shared" si="44"/>
        <v>75054</v>
      </c>
      <c r="I132" s="171">
        <f t="shared" si="41"/>
        <v>-7.8865979381443352E-2</v>
      </c>
      <c r="J132" s="170">
        <f>H132-G132</f>
        <v>-6426</v>
      </c>
      <c r="K132" s="171">
        <f t="shared" si="42"/>
        <v>4.4191268694618868E-3</v>
      </c>
      <c r="L132" s="81"/>
    </row>
    <row r="133" spans="1:12" s="147" customFormat="1" x14ac:dyDescent="0.25">
      <c r="A133" s="163"/>
      <c r="B133" s="156" t="s">
        <v>54</v>
      </c>
      <c r="C133" s="154"/>
      <c r="D133" s="154"/>
      <c r="E133" s="154"/>
      <c r="F133" s="154"/>
      <c r="G133" s="154"/>
      <c r="H133" s="154"/>
      <c r="I133" s="154"/>
      <c r="J133" s="154"/>
      <c r="K133" s="154"/>
    </row>
    <row r="134" spans="1:12" x14ac:dyDescent="0.25">
      <c r="A134" s="163"/>
      <c r="B134" s="157" t="s">
        <v>70</v>
      </c>
      <c r="C134" s="177">
        <v>412691</v>
      </c>
      <c r="D134" s="177">
        <v>132161</v>
      </c>
      <c r="E134" s="177">
        <v>815705</v>
      </c>
      <c r="F134" s="177">
        <v>894003</v>
      </c>
      <c r="G134" s="177">
        <v>988736</v>
      </c>
      <c r="H134" s="177">
        <v>963996</v>
      </c>
      <c r="I134" s="178">
        <f>IFERROR(H134/G134-1,"-")</f>
        <v>-2.5021846074179566E-2</v>
      </c>
      <c r="J134" s="177">
        <f>H134-G134</f>
        <v>-24740</v>
      </c>
      <c r="K134" s="178">
        <f>H134/H$8</f>
        <v>5.6759408234788034E-2</v>
      </c>
      <c r="L134" s="81"/>
    </row>
    <row r="135" spans="1:12" x14ac:dyDescent="0.25">
      <c r="A135" s="163" t="s">
        <v>98</v>
      </c>
      <c r="B135" s="160" t="s">
        <v>99</v>
      </c>
      <c r="C135" s="161">
        <v>9152</v>
      </c>
      <c r="D135" s="161">
        <v>49027</v>
      </c>
      <c r="E135" s="161">
        <v>36395</v>
      </c>
      <c r="F135" s="161">
        <v>49948</v>
      </c>
      <c r="G135" s="161">
        <v>36539</v>
      </c>
      <c r="H135" s="161">
        <v>34981</v>
      </c>
      <c r="I135" s="162">
        <f>IFERROR(H135/G135-1,"-")</f>
        <v>-4.2639371630312839E-2</v>
      </c>
      <c r="J135" s="161">
        <f t="shared" ref="J135:J145" si="45">H135-G135</f>
        <v>-1558</v>
      </c>
      <c r="K135" s="162">
        <f>H135/H$8</f>
        <v>2.0596567407552731E-3</v>
      </c>
      <c r="L135" s="81"/>
    </row>
    <row r="136" spans="1:12" x14ac:dyDescent="0.25">
      <c r="A136" s="163" t="s">
        <v>105</v>
      </c>
      <c r="B136" s="164" t="s">
        <v>105</v>
      </c>
      <c r="C136" s="165">
        <v>5032</v>
      </c>
      <c r="D136" s="165">
        <v>36324</v>
      </c>
      <c r="E136" s="165">
        <v>19559</v>
      </c>
      <c r="F136" s="165">
        <v>28534</v>
      </c>
      <c r="G136" s="165">
        <v>18361</v>
      </c>
      <c r="H136" s="165">
        <v>11115</v>
      </c>
      <c r="I136" s="166">
        <f>IFERROR(H136/G136-1,"-")</f>
        <v>-0.39464081477043733</v>
      </c>
      <c r="J136" s="165">
        <f t="shared" si="45"/>
        <v>-7246</v>
      </c>
      <c r="K136" s="166">
        <f>H136/H$8</f>
        <v>6.5444340280423256E-4</v>
      </c>
      <c r="L136" s="81"/>
    </row>
    <row r="137" spans="1:12" x14ac:dyDescent="0.25">
      <c r="A137" s="163" t="s">
        <v>102</v>
      </c>
      <c r="B137" s="164" t="s">
        <v>102</v>
      </c>
      <c r="C137" s="165">
        <v>4120</v>
      </c>
      <c r="D137" s="165">
        <v>12703</v>
      </c>
      <c r="E137" s="165">
        <v>16836</v>
      </c>
      <c r="F137" s="165">
        <v>21414</v>
      </c>
      <c r="G137" s="165">
        <v>18178</v>
      </c>
      <c r="H137" s="165">
        <v>23866</v>
      </c>
      <c r="I137" s="166">
        <f>IFERROR(H137/G137-1,"-")</f>
        <v>0.31290571019914193</v>
      </c>
      <c r="J137" s="165">
        <f t="shared" si="45"/>
        <v>5688</v>
      </c>
      <c r="K137" s="166">
        <f>H137/H$8</f>
        <v>1.4052133379510404E-3</v>
      </c>
      <c r="L137" s="81"/>
    </row>
    <row r="138" spans="1:12" x14ac:dyDescent="0.25">
      <c r="A138" s="163"/>
      <c r="B138" s="160" t="s">
        <v>109</v>
      </c>
      <c r="C138" s="161">
        <v>403539</v>
      </c>
      <c r="D138" s="161">
        <v>83134</v>
      </c>
      <c r="E138" s="161">
        <v>779310</v>
      </c>
      <c r="F138" s="161">
        <v>844055</v>
      </c>
      <c r="G138" s="161">
        <v>952197</v>
      </c>
      <c r="H138" s="161">
        <v>929015</v>
      </c>
      <c r="I138" s="162">
        <f>IFERROR(H138/G138-1,"-")</f>
        <v>-2.4345802391732008E-2</v>
      </c>
      <c r="J138" s="161">
        <f t="shared" si="45"/>
        <v>-23182</v>
      </c>
      <c r="K138" s="162">
        <f>H138/H$8</f>
        <v>5.4699751494032757E-2</v>
      </c>
      <c r="L138" s="81"/>
    </row>
    <row r="139" spans="1:12" s="57" customFormat="1" x14ac:dyDescent="0.25">
      <c r="A139" s="163"/>
      <c r="B139" s="164" t="s">
        <v>112</v>
      </c>
      <c r="C139" s="165">
        <v>198194</v>
      </c>
      <c r="D139" s="165">
        <v>2110</v>
      </c>
      <c r="E139" s="165">
        <v>341843</v>
      </c>
      <c r="F139" s="165">
        <v>331680</v>
      </c>
      <c r="G139" s="165">
        <v>414214</v>
      </c>
      <c r="H139" s="165">
        <v>432280</v>
      </c>
      <c r="I139" s="166">
        <f t="shared" ref="I139:I146" si="46">IFERROR(H139/G139-1,"-")</f>
        <v>4.3615136137358901E-2</v>
      </c>
      <c r="J139" s="165">
        <f t="shared" si="45"/>
        <v>18066</v>
      </c>
      <c r="K139" s="166">
        <f t="shared" ref="K139:K146" si="47">H139/H$8</f>
        <v>2.5452343154675094E-2</v>
      </c>
      <c r="L139" s="167"/>
    </row>
    <row r="140" spans="1:12" s="57" customFormat="1" x14ac:dyDescent="0.25">
      <c r="A140" s="163"/>
      <c r="B140" s="164" t="s">
        <v>115</v>
      </c>
      <c r="C140" s="165">
        <v>25529</v>
      </c>
      <c r="D140" s="165">
        <v>10972</v>
      </c>
      <c r="E140" s="165">
        <v>59149</v>
      </c>
      <c r="F140" s="165">
        <v>85182</v>
      </c>
      <c r="G140" s="165">
        <v>104313</v>
      </c>
      <c r="H140" s="165">
        <v>91210</v>
      </c>
      <c r="I140" s="166">
        <f t="shared" si="46"/>
        <v>-0.12561233978506992</v>
      </c>
      <c r="J140" s="165">
        <f t="shared" si="45"/>
        <v>-13103</v>
      </c>
      <c r="K140" s="166">
        <f t="shared" si="47"/>
        <v>5.3703808159940667E-3</v>
      </c>
      <c r="L140" s="167"/>
    </row>
    <row r="141" spans="1:12" x14ac:dyDescent="0.25">
      <c r="A141" s="163"/>
      <c r="B141" s="164" t="s">
        <v>118</v>
      </c>
      <c r="C141" s="165">
        <v>22867</v>
      </c>
      <c r="D141" s="165">
        <v>23155</v>
      </c>
      <c r="E141" s="165">
        <v>84412</v>
      </c>
      <c r="F141" s="165">
        <v>82450</v>
      </c>
      <c r="G141" s="165">
        <v>90003</v>
      </c>
      <c r="H141" s="165">
        <v>77606</v>
      </c>
      <c r="I141" s="166">
        <f t="shared" si="46"/>
        <v>-0.13773985311600723</v>
      </c>
      <c r="J141" s="165">
        <f t="shared" si="45"/>
        <v>-12397</v>
      </c>
      <c r="K141" s="166">
        <f t="shared" si="47"/>
        <v>4.5693868392285442E-3</v>
      </c>
      <c r="L141" s="81"/>
    </row>
    <row r="142" spans="1:12" x14ac:dyDescent="0.25">
      <c r="A142" s="163"/>
      <c r="B142" s="164" t="s">
        <v>125</v>
      </c>
      <c r="C142" s="165">
        <v>5400</v>
      </c>
      <c r="D142" s="165">
        <v>1081</v>
      </c>
      <c r="E142" s="165">
        <v>28804</v>
      </c>
      <c r="F142" s="165">
        <v>32730</v>
      </c>
      <c r="G142" s="165">
        <v>32642</v>
      </c>
      <c r="H142" s="165">
        <v>24051</v>
      </c>
      <c r="I142" s="166">
        <f t="shared" si="46"/>
        <v>-0.26318853011457632</v>
      </c>
      <c r="J142" s="165">
        <f t="shared" si="45"/>
        <v>-8591</v>
      </c>
      <c r="K142" s="166">
        <f t="shared" si="47"/>
        <v>1.4161060081731532E-3</v>
      </c>
      <c r="L142" s="81"/>
    </row>
    <row r="143" spans="1:12" x14ac:dyDescent="0.25">
      <c r="A143" s="163"/>
      <c r="B143" s="164" t="s">
        <v>121</v>
      </c>
      <c r="C143" s="165">
        <v>6566</v>
      </c>
      <c r="D143" s="165">
        <v>2700</v>
      </c>
      <c r="E143" s="165">
        <v>14713</v>
      </c>
      <c r="F143" s="165">
        <v>18976</v>
      </c>
      <c r="G143" s="165">
        <v>24093</v>
      </c>
      <c r="H143" s="165">
        <v>15984</v>
      </c>
      <c r="I143" s="166">
        <f t="shared" si="46"/>
        <v>-0.33657078819574149</v>
      </c>
      <c r="J143" s="165">
        <f t="shared" si="45"/>
        <v>-8109</v>
      </c>
      <c r="K143" s="166">
        <f t="shared" si="47"/>
        <v>9.411267071905401E-4</v>
      </c>
      <c r="L143" s="81"/>
    </row>
    <row r="144" spans="1:12" x14ac:dyDescent="0.25">
      <c r="A144" s="163"/>
      <c r="B144" s="164" t="s">
        <v>130</v>
      </c>
      <c r="C144" s="165">
        <v>15280</v>
      </c>
      <c r="D144" s="165">
        <v>200</v>
      </c>
      <c r="E144" s="165">
        <v>13837</v>
      </c>
      <c r="F144" s="165">
        <v>18455</v>
      </c>
      <c r="G144" s="165">
        <v>16219</v>
      </c>
      <c r="H144" s="165">
        <v>17804</v>
      </c>
      <c r="I144" s="166">
        <f t="shared" si="46"/>
        <v>9.7724890560453748E-2</v>
      </c>
      <c r="J144" s="165">
        <f t="shared" si="45"/>
        <v>1585</v>
      </c>
      <c r="K144" s="166">
        <f t="shared" si="47"/>
        <v>1.0482870304567302E-3</v>
      </c>
      <c r="L144" s="81"/>
    </row>
    <row r="145" spans="1:12" x14ac:dyDescent="0.25">
      <c r="A145" s="163" t="s">
        <v>146</v>
      </c>
      <c r="B145" s="164" t="s">
        <v>133</v>
      </c>
      <c r="C145" s="165">
        <v>28780</v>
      </c>
      <c r="D145" s="165">
        <v>182</v>
      </c>
      <c r="E145" s="165">
        <v>6397</v>
      </c>
      <c r="F145" s="165">
        <v>12560</v>
      </c>
      <c r="G145" s="165">
        <v>10468</v>
      </c>
      <c r="H145" s="165">
        <v>8771</v>
      </c>
      <c r="I145" s="166">
        <f t="shared" si="46"/>
        <v>-0.16211310661062284</v>
      </c>
      <c r="J145" s="165">
        <f t="shared" si="45"/>
        <v>-1697</v>
      </c>
      <c r="K145" s="166">
        <f t="shared" si="47"/>
        <v>5.1643032712513938E-4</v>
      </c>
      <c r="L145" s="81"/>
    </row>
    <row r="146" spans="1:12" x14ac:dyDescent="0.25">
      <c r="A146" s="163" t="s">
        <v>147</v>
      </c>
      <c r="B146" s="169" t="s">
        <v>147</v>
      </c>
      <c r="C146" s="170">
        <f t="shared" ref="C146" si="48">C138-SUM(C139:C145)</f>
        <v>100923</v>
      </c>
      <c r="D146" s="170">
        <f t="shared" ref="D146:H146" si="49">D138-SUM(D139:D145)</f>
        <v>42734</v>
      </c>
      <c r="E146" s="170">
        <f t="shared" si="49"/>
        <v>230155</v>
      </c>
      <c r="F146" s="170">
        <f t="shared" si="49"/>
        <v>262022</v>
      </c>
      <c r="G146" s="170">
        <f t="shared" si="49"/>
        <v>260245</v>
      </c>
      <c r="H146" s="170">
        <f t="shared" si="49"/>
        <v>261309</v>
      </c>
      <c r="I146" s="171">
        <f t="shared" si="46"/>
        <v>4.0884551096083133E-3</v>
      </c>
      <c r="J146" s="170">
        <f>H146-G146</f>
        <v>1064</v>
      </c>
      <c r="K146" s="171">
        <f t="shared" si="47"/>
        <v>1.5385690611189492E-2</v>
      </c>
      <c r="L146" s="81"/>
    </row>
    <row r="147" spans="1:12" s="147" customFormat="1" x14ac:dyDescent="0.25">
      <c r="A147" s="163"/>
      <c r="B147" s="156" t="s">
        <v>55</v>
      </c>
      <c r="C147" s="154"/>
      <c r="D147" s="154"/>
      <c r="E147" s="154"/>
      <c r="F147" s="154"/>
      <c r="G147" s="154"/>
      <c r="H147" s="154"/>
      <c r="I147" s="154"/>
      <c r="J147" s="154"/>
      <c r="K147" s="154"/>
    </row>
    <row r="148" spans="1:12" x14ac:dyDescent="0.25">
      <c r="A148" s="163"/>
      <c r="B148" s="157" t="s">
        <v>70</v>
      </c>
      <c r="C148" s="177">
        <v>167308</v>
      </c>
      <c r="D148" s="177">
        <v>75927</v>
      </c>
      <c r="E148" s="177">
        <v>293140</v>
      </c>
      <c r="F148" s="177">
        <v>412303</v>
      </c>
      <c r="G148" s="177">
        <v>382019</v>
      </c>
      <c r="H148" s="177">
        <v>367014</v>
      </c>
      <c r="I148" s="178">
        <f>IFERROR(H148/G148-1,"-")</f>
        <v>-3.9278151086726054E-2</v>
      </c>
      <c r="J148" s="177">
        <f>H148-G148</f>
        <v>-15005</v>
      </c>
      <c r="K148" s="178">
        <f>H148/H$8</f>
        <v>2.1609526858910717E-2</v>
      </c>
      <c r="L148" s="81"/>
    </row>
    <row r="149" spans="1:12" x14ac:dyDescent="0.25">
      <c r="A149" s="163" t="s">
        <v>98</v>
      </c>
      <c r="B149" s="160" t="s">
        <v>99</v>
      </c>
      <c r="C149" s="161">
        <v>54412</v>
      </c>
      <c r="D149" s="161">
        <v>40742</v>
      </c>
      <c r="E149" s="161">
        <v>120504</v>
      </c>
      <c r="F149" s="161">
        <v>160043</v>
      </c>
      <c r="G149" s="161">
        <v>147889</v>
      </c>
      <c r="H149" s="161">
        <v>135619</v>
      </c>
      <c r="I149" s="162">
        <f>IFERROR(H149/G149-1,"-")</f>
        <v>-8.296763112875194E-2</v>
      </c>
      <c r="J149" s="161">
        <f t="shared" ref="J149:J159" si="50">H149-G149</f>
        <v>-12270</v>
      </c>
      <c r="K149" s="162">
        <f>H149/H$8</f>
        <v>7.9851515829876037E-3</v>
      </c>
      <c r="L149" s="81"/>
    </row>
    <row r="150" spans="1:12" x14ac:dyDescent="0.25">
      <c r="A150" s="163" t="s">
        <v>105</v>
      </c>
      <c r="B150" s="164" t="s">
        <v>105</v>
      </c>
      <c r="C150" s="165">
        <v>21621</v>
      </c>
      <c r="D150" s="165">
        <v>34054</v>
      </c>
      <c r="E150" s="165">
        <v>64507</v>
      </c>
      <c r="F150" s="165">
        <v>102907</v>
      </c>
      <c r="G150" s="165">
        <v>97323</v>
      </c>
      <c r="H150" s="165">
        <v>82932</v>
      </c>
      <c r="I150" s="166">
        <f>IFERROR(H150/G150-1,"-")</f>
        <v>-0.14786843808760519</v>
      </c>
      <c r="J150" s="165">
        <f t="shared" si="50"/>
        <v>-14391</v>
      </c>
      <c r="K150" s="166">
        <f>H150/H$8</f>
        <v>4.8829779830283958E-3</v>
      </c>
      <c r="L150" s="81"/>
    </row>
    <row r="151" spans="1:12" x14ac:dyDescent="0.25">
      <c r="A151" s="163" t="s">
        <v>102</v>
      </c>
      <c r="B151" s="164" t="s">
        <v>102</v>
      </c>
      <c r="C151" s="165">
        <v>32791</v>
      </c>
      <c r="D151" s="165">
        <v>6688</v>
      </c>
      <c r="E151" s="165">
        <v>55997</v>
      </c>
      <c r="F151" s="165">
        <v>57136</v>
      </c>
      <c r="G151" s="165">
        <v>50566</v>
      </c>
      <c r="H151" s="165">
        <v>52687</v>
      </c>
      <c r="I151" s="166">
        <f>IFERROR(H151/G151-1,"-")</f>
        <v>4.1945180556104855E-2</v>
      </c>
      <c r="J151" s="165">
        <f t="shared" si="50"/>
        <v>2121</v>
      </c>
      <c r="K151" s="166">
        <f>H151/H$8</f>
        <v>3.1021735999592084E-3</v>
      </c>
      <c r="L151" s="81"/>
    </row>
    <row r="152" spans="1:12" x14ac:dyDescent="0.25">
      <c r="A152" s="163"/>
      <c r="B152" s="160" t="s">
        <v>109</v>
      </c>
      <c r="C152" s="161">
        <v>112896</v>
      </c>
      <c r="D152" s="161">
        <v>35185</v>
      </c>
      <c r="E152" s="161">
        <v>172636</v>
      </c>
      <c r="F152" s="161">
        <v>252260</v>
      </c>
      <c r="G152" s="161">
        <v>234130</v>
      </c>
      <c r="H152" s="161">
        <v>231395</v>
      </c>
      <c r="I152" s="162">
        <f>IFERROR(H152/G152-1,"-")</f>
        <v>-1.168154444112246E-2</v>
      </c>
      <c r="J152" s="161">
        <f t="shared" si="50"/>
        <v>-2735</v>
      </c>
      <c r="K152" s="162">
        <f>H152/H$8</f>
        <v>1.3624375275923112E-2</v>
      </c>
      <c r="L152" s="81"/>
    </row>
    <row r="153" spans="1:12" s="57" customFormat="1" x14ac:dyDescent="0.25">
      <c r="A153" s="163"/>
      <c r="B153" s="164" t="s">
        <v>112</v>
      </c>
      <c r="C153" s="165">
        <v>26513</v>
      </c>
      <c r="D153" s="165">
        <v>1045</v>
      </c>
      <c r="E153" s="165">
        <v>62406</v>
      </c>
      <c r="F153" s="165">
        <v>101823</v>
      </c>
      <c r="G153" s="165">
        <v>88186</v>
      </c>
      <c r="H153" s="165">
        <v>54561</v>
      </c>
      <c r="I153" s="166">
        <f t="shared" ref="I153:I160" si="51">IFERROR(H153/G153-1,"-")</f>
        <v>-0.38129635089469982</v>
      </c>
      <c r="J153" s="165">
        <f t="shared" si="50"/>
        <v>-33625</v>
      </c>
      <c r="K153" s="166">
        <f t="shared" ref="K153:K160" si="52">H153/H$8</f>
        <v>3.2125134053442857E-3</v>
      </c>
      <c r="L153" s="167"/>
    </row>
    <row r="154" spans="1:12" s="57" customFormat="1" x14ac:dyDescent="0.25">
      <c r="A154" s="163"/>
      <c r="B154" s="164" t="s">
        <v>115</v>
      </c>
      <c r="C154" s="165">
        <v>44172</v>
      </c>
      <c r="D154" s="165">
        <v>10432</v>
      </c>
      <c r="E154" s="165">
        <v>51077</v>
      </c>
      <c r="F154" s="165">
        <v>55177</v>
      </c>
      <c r="G154" s="165">
        <v>58021</v>
      </c>
      <c r="H154" s="165">
        <v>53233</v>
      </c>
      <c r="I154" s="166">
        <f t="shared" si="51"/>
        <v>-8.2521845538684246E-2</v>
      </c>
      <c r="J154" s="165">
        <f t="shared" si="50"/>
        <v>-4788</v>
      </c>
      <c r="K154" s="166">
        <f t="shared" si="52"/>
        <v>3.1343216969390653E-3</v>
      </c>
      <c r="L154" s="167"/>
    </row>
    <row r="155" spans="1:12" x14ac:dyDescent="0.25">
      <c r="A155" s="163"/>
      <c r="B155" s="164" t="s">
        <v>118</v>
      </c>
      <c r="C155" s="165">
        <v>11693</v>
      </c>
      <c r="D155" s="165">
        <v>8928</v>
      </c>
      <c r="E155" s="165">
        <v>15520</v>
      </c>
      <c r="F155" s="165">
        <v>33308</v>
      </c>
      <c r="G155" s="165">
        <v>21602</v>
      </c>
      <c r="H155" s="165">
        <v>64560</v>
      </c>
      <c r="I155" s="166">
        <f t="shared" si="51"/>
        <v>1.9886121655402276</v>
      </c>
      <c r="J155" s="165">
        <f t="shared" si="50"/>
        <v>42958</v>
      </c>
      <c r="K155" s="166">
        <f t="shared" si="52"/>
        <v>3.8012475110248542E-3</v>
      </c>
      <c r="L155" s="81"/>
    </row>
    <row r="156" spans="1:12" x14ac:dyDescent="0.25">
      <c r="A156" s="163"/>
      <c r="B156" s="164" t="s">
        <v>125</v>
      </c>
      <c r="C156" s="165">
        <v>2314</v>
      </c>
      <c r="D156" s="165">
        <v>1339</v>
      </c>
      <c r="E156" s="165">
        <v>3409</v>
      </c>
      <c r="F156" s="165">
        <v>5989</v>
      </c>
      <c r="G156" s="165">
        <v>7608</v>
      </c>
      <c r="H156" s="165">
        <v>6651</v>
      </c>
      <c r="I156" s="166">
        <f t="shared" si="51"/>
        <v>-0.12578864353312302</v>
      </c>
      <c r="J156" s="165">
        <f t="shared" si="50"/>
        <v>-957</v>
      </c>
      <c r="K156" s="166">
        <f t="shared" si="52"/>
        <v>3.9160621430957721E-4</v>
      </c>
      <c r="L156" s="81"/>
    </row>
    <row r="157" spans="1:12" x14ac:dyDescent="0.25">
      <c r="A157" s="163"/>
      <c r="B157" s="164" t="s">
        <v>121</v>
      </c>
      <c r="C157" s="165">
        <v>5589</v>
      </c>
      <c r="D157" s="165">
        <v>1481</v>
      </c>
      <c r="E157" s="165">
        <v>11376</v>
      </c>
      <c r="F157" s="165">
        <v>12662</v>
      </c>
      <c r="G157" s="165">
        <v>9687</v>
      </c>
      <c r="H157" s="165">
        <v>8476</v>
      </c>
      <c r="I157" s="166">
        <f t="shared" si="51"/>
        <v>-0.12501290389181374</v>
      </c>
      <c r="J157" s="165">
        <f t="shared" si="50"/>
        <v>-1211</v>
      </c>
      <c r="K157" s="166">
        <f t="shared" si="52"/>
        <v>4.9906093406825683E-4</v>
      </c>
      <c r="L157" s="81"/>
    </row>
    <row r="158" spans="1:12" x14ac:dyDescent="0.25">
      <c r="A158" s="163"/>
      <c r="B158" s="164" t="s">
        <v>130</v>
      </c>
      <c r="C158" s="165">
        <v>2769</v>
      </c>
      <c r="D158" s="165">
        <v>196</v>
      </c>
      <c r="E158" s="165">
        <v>1290</v>
      </c>
      <c r="F158" s="165">
        <v>3035</v>
      </c>
      <c r="G158" s="165">
        <v>2084</v>
      </c>
      <c r="H158" s="165">
        <v>1587</v>
      </c>
      <c r="I158" s="166">
        <f t="shared" si="51"/>
        <v>-0.23848368522072938</v>
      </c>
      <c r="J158" s="165">
        <f t="shared" si="50"/>
        <v>-497</v>
      </c>
      <c r="K158" s="166">
        <f t="shared" si="52"/>
        <v>9.3441446716177872E-5</v>
      </c>
      <c r="L158" s="81"/>
    </row>
    <row r="159" spans="1:12" x14ac:dyDescent="0.25">
      <c r="A159" s="163" t="s">
        <v>146</v>
      </c>
      <c r="B159" s="164" t="s">
        <v>133</v>
      </c>
      <c r="C159" s="165">
        <v>3726</v>
      </c>
      <c r="D159" s="165">
        <v>162</v>
      </c>
      <c r="E159" s="165">
        <v>2539</v>
      </c>
      <c r="F159" s="165">
        <v>3841</v>
      </c>
      <c r="G159" s="165">
        <v>3629</v>
      </c>
      <c r="H159" s="165">
        <v>2690</v>
      </c>
      <c r="I159" s="166">
        <f t="shared" si="51"/>
        <v>-0.25874896665748137</v>
      </c>
      <c r="J159" s="165">
        <f t="shared" si="50"/>
        <v>-939</v>
      </c>
      <c r="K159" s="166">
        <f t="shared" si="52"/>
        <v>1.5838531295936893E-4</v>
      </c>
      <c r="L159" s="81"/>
    </row>
    <row r="160" spans="1:12" x14ac:dyDescent="0.25">
      <c r="A160" s="163" t="s">
        <v>147</v>
      </c>
      <c r="B160" s="169" t="s">
        <v>147</v>
      </c>
      <c r="C160" s="170">
        <f t="shared" ref="C160" si="53">C152-SUM(C153:C159)</f>
        <v>16120</v>
      </c>
      <c r="D160" s="170">
        <f t="shared" ref="D160:H160" si="54">D152-SUM(D153:D159)</f>
        <v>11602</v>
      </c>
      <c r="E160" s="170">
        <f t="shared" si="54"/>
        <v>25019</v>
      </c>
      <c r="F160" s="170">
        <f t="shared" si="54"/>
        <v>36425</v>
      </c>
      <c r="G160" s="170">
        <f t="shared" si="54"/>
        <v>43313</v>
      </c>
      <c r="H160" s="170">
        <f t="shared" si="54"/>
        <v>39637</v>
      </c>
      <c r="I160" s="171">
        <f t="shared" si="51"/>
        <v>-8.4870593124466098E-2</v>
      </c>
      <c r="J160" s="170">
        <f>H160-G160</f>
        <v>-3676</v>
      </c>
      <c r="K160" s="171">
        <f t="shared" si="52"/>
        <v>2.3337987545615263E-3</v>
      </c>
      <c r="L160" s="81"/>
    </row>
    <row r="161" spans="2:14" ht="6" customHeight="1" x14ac:dyDescent="0.25">
      <c r="B161" s="172"/>
      <c r="C161" s="172"/>
      <c r="D161" s="172"/>
      <c r="E161" s="172"/>
      <c r="F161" s="172"/>
      <c r="G161" s="172"/>
      <c r="H161" s="172"/>
      <c r="I161" s="172"/>
      <c r="J161" s="172"/>
      <c r="K161" s="172"/>
      <c r="L161" s="172"/>
      <c r="M161" s="172"/>
      <c r="N161" s="172"/>
    </row>
    <row r="162" spans="2:14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</row>
  </sheetData>
  <mergeCells count="2">
    <mergeCell ref="B3:K3"/>
    <mergeCell ref="C5:K5"/>
  </mergeCells>
  <pageMargins left="0.25" right="0.25" top="0.75" bottom="0.75" header="0.3" footer="0.3"/>
  <pageSetup paperSize="9" scale="20" orientation="landscape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81667-F0A3-4D50-94CA-43F8D9F0DC12}">
  <sheetPr>
    <tabColor rgb="FFF29140"/>
    <pageSetUpPr fitToPage="1"/>
  </sheetPr>
  <dimension ref="A1:P162"/>
  <sheetViews>
    <sheetView showGridLines="0" workbookViewId="0"/>
  </sheetViews>
  <sheetFormatPr baseColWidth="10" defaultRowHeight="15" x14ac:dyDescent="0.25"/>
  <cols>
    <col min="1" max="1" width="15.5703125" customWidth="1"/>
    <col min="2" max="2" width="30.140625" customWidth="1"/>
    <col min="3" max="9" width="12" customWidth="1"/>
    <col min="10" max="11" width="10.5703125" customWidth="1"/>
    <col min="12" max="12" width="11.28515625" customWidth="1"/>
    <col min="13" max="13" width="10.5703125" customWidth="1"/>
  </cols>
  <sheetData>
    <row r="1" spans="1:14" ht="42.75" customHeight="1" x14ac:dyDescent="0.25"/>
    <row r="4" spans="1:14" ht="42" customHeight="1" thickBot="1" x14ac:dyDescent="0.3">
      <c r="B4" s="278" t="str">
        <f>CONCATENATE("Pernoctaciones en los establecimientos alojativos de Tenerife según lugar de residencia y municipio de alojamiento (hotel + apartamento)")</f>
        <v>Pernoctaciones en los establecimientos alojativos de Tenerife según lugar de residencia y municipio de alojamiento (hotel + apartamento)</v>
      </c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</row>
    <row r="5" spans="1:14" ht="6" customHeight="1" x14ac:dyDescent="0.25"/>
    <row r="6" spans="1:14" s="147" customFormat="1" ht="72" customHeight="1" x14ac:dyDescent="0.25">
      <c r="B6" s="148"/>
      <c r="C6" s="186">
        <v>2019</v>
      </c>
      <c r="D6" s="186">
        <v>2020</v>
      </c>
      <c r="E6" s="186">
        <v>2021</v>
      </c>
      <c r="F6" s="186">
        <v>2022</v>
      </c>
      <c r="G6" s="186">
        <v>2023</v>
      </c>
      <c r="H6" s="186">
        <v>2024</v>
      </c>
      <c r="I6" s="174" t="str">
        <f>CONCATENATE("var. ",RIGHT(H6,2),"/",RIGHT(G6,2))</f>
        <v>var. 24/23</v>
      </c>
      <c r="J6" s="174" t="str">
        <f>CONCATENATE("var. ",RIGHT(H6,2),"/",RIGHT(E6,2))</f>
        <v>var. 24/21</v>
      </c>
      <c r="K6" s="173" t="str">
        <f>CONCATENATE("dif. ",RIGHT(H6,2),"/",RIGHT(G6,2))</f>
        <v>dif. 24/23</v>
      </c>
      <c r="L6" s="173" t="str">
        <f>CONCATENATE("dif. ",RIGHT(H6,2),"/",RIGHT(E6,2))</f>
        <v>dif. 24/21</v>
      </c>
      <c r="M6" s="174" t="str">
        <f>CONCATENATE("Cuota s/ total lugares de residencia ",RIGHT(H6,4))</f>
        <v>Cuota s/ total lugares de residencia 2024</v>
      </c>
    </row>
    <row r="7" spans="1:14" s="147" customFormat="1" x14ac:dyDescent="0.25">
      <c r="B7" s="153" t="s">
        <v>45</v>
      </c>
      <c r="C7" s="154"/>
      <c r="D7" s="154"/>
      <c r="E7" s="154"/>
      <c r="F7" s="154"/>
      <c r="G7" s="154"/>
      <c r="H7" s="154"/>
      <c r="I7" s="154"/>
      <c r="J7" s="154"/>
      <c r="K7" s="154"/>
      <c r="L7" s="154"/>
      <c r="M7" s="154"/>
    </row>
    <row r="8" spans="1:14" x14ac:dyDescent="0.25">
      <c r="A8" s="1">
        <v>3</v>
      </c>
      <c r="B8" s="157" t="s">
        <v>70</v>
      </c>
      <c r="C8" s="177">
        <v>34034766</v>
      </c>
      <c r="D8" s="177">
        <v>10243785</v>
      </c>
      <c r="E8" s="177">
        <v>13903380</v>
      </c>
      <c r="F8" s="177">
        <v>31405937</v>
      </c>
      <c r="G8" s="177">
        <v>34509923</v>
      </c>
      <c r="H8" s="177">
        <v>36076748</v>
      </c>
      <c r="I8" s="178">
        <f>IFERROR(H8/G8-1,"-")</f>
        <v>4.540215867766495E-2</v>
      </c>
      <c r="J8" s="178">
        <f>IFERROR(H8/E8-1,"-")</f>
        <v>1.5948185261425638</v>
      </c>
      <c r="K8" s="177">
        <f>H8-G8</f>
        <v>1566825</v>
      </c>
      <c r="L8" s="177">
        <f>H8-E8</f>
        <v>22173368</v>
      </c>
      <c r="M8" s="178">
        <f>H8/H$8</f>
        <v>1</v>
      </c>
      <c r="N8" s="81"/>
    </row>
    <row r="9" spans="1:14" x14ac:dyDescent="0.25">
      <c r="A9" s="1" t="s">
        <v>98</v>
      </c>
      <c r="B9" s="160" t="s">
        <v>99</v>
      </c>
      <c r="C9" s="161">
        <v>4613933</v>
      </c>
      <c r="D9" s="161">
        <v>1666329</v>
      </c>
      <c r="E9" s="161">
        <v>2851484</v>
      </c>
      <c r="F9" s="161">
        <v>4154268</v>
      </c>
      <c r="G9" s="161">
        <v>4256196</v>
      </c>
      <c r="H9" s="161">
        <v>4222474</v>
      </c>
      <c r="I9" s="162">
        <f>IFERROR(H9/G9-1,"-")</f>
        <v>-7.9230373789177522E-3</v>
      </c>
      <c r="J9" s="179">
        <f t="shared" ref="J9:J20" si="0">IFERROR(H9/E9-1,"-")</f>
        <v>0.48079877004394911</v>
      </c>
      <c r="K9" s="161">
        <f t="shared" ref="K9:K19" si="1">H9-G9</f>
        <v>-33722</v>
      </c>
      <c r="L9" s="161">
        <f t="shared" ref="L9:L20" si="2">H9-E9</f>
        <v>1370990</v>
      </c>
      <c r="M9" s="162">
        <f>H9/H$8</f>
        <v>0.11704142513066865</v>
      </c>
      <c r="N9" s="81"/>
    </row>
    <row r="10" spans="1:14" x14ac:dyDescent="0.25">
      <c r="A10" s="163" t="s">
        <v>105</v>
      </c>
      <c r="B10" s="164" t="s">
        <v>105</v>
      </c>
      <c r="C10" s="165">
        <v>1301233</v>
      </c>
      <c r="D10" s="165">
        <v>564792</v>
      </c>
      <c r="E10" s="165">
        <v>1116779</v>
      </c>
      <c r="F10" s="165">
        <v>1214668</v>
      </c>
      <c r="G10" s="165">
        <v>1317693</v>
      </c>
      <c r="H10" s="165">
        <v>1326202</v>
      </c>
      <c r="I10" s="166">
        <f>IFERROR(H10/G10-1,"-")</f>
        <v>6.4574980666969317E-3</v>
      </c>
      <c r="J10" s="180">
        <f t="shared" si="0"/>
        <v>0.18752412070785707</v>
      </c>
      <c r="K10" s="165">
        <f t="shared" si="1"/>
        <v>8509</v>
      </c>
      <c r="L10" s="165">
        <f t="shared" si="2"/>
        <v>209423</v>
      </c>
      <c r="M10" s="166">
        <f>H10/H$8</f>
        <v>3.676057498308883E-2</v>
      </c>
      <c r="N10" s="81"/>
    </row>
    <row r="11" spans="1:14" x14ac:dyDescent="0.25">
      <c r="A11" s="163" t="s">
        <v>102</v>
      </c>
      <c r="B11" s="164" t="s">
        <v>102</v>
      </c>
      <c r="C11" s="165">
        <v>3312700</v>
      </c>
      <c r="D11" s="165">
        <v>1101537</v>
      </c>
      <c r="E11" s="165">
        <v>1734705</v>
      </c>
      <c r="F11" s="165">
        <v>2939600</v>
      </c>
      <c r="G11" s="165">
        <v>2938503</v>
      </c>
      <c r="H11" s="165">
        <v>2896272</v>
      </c>
      <c r="I11" s="166">
        <f>IFERROR(H11/G11-1,"-")</f>
        <v>-1.4371603500149543E-2</v>
      </c>
      <c r="J11" s="180">
        <f t="shared" si="0"/>
        <v>0.66960491841552305</v>
      </c>
      <c r="K11" s="165">
        <f t="shared" si="1"/>
        <v>-42231</v>
      </c>
      <c r="L11" s="165">
        <f t="shared" si="2"/>
        <v>1161567</v>
      </c>
      <c r="M11" s="166">
        <f>H11/H$8</f>
        <v>8.0280850147579824E-2</v>
      </c>
      <c r="N11" s="81"/>
    </row>
    <row r="12" spans="1:14" x14ac:dyDescent="0.25">
      <c r="A12" s="1"/>
      <c r="B12" s="160" t="s">
        <v>109</v>
      </c>
      <c r="C12" s="161">
        <v>29420833</v>
      </c>
      <c r="D12" s="161">
        <v>8577456</v>
      </c>
      <c r="E12" s="161">
        <v>11051896</v>
      </c>
      <c r="F12" s="161">
        <v>27251669</v>
      </c>
      <c r="G12" s="161">
        <v>30253727</v>
      </c>
      <c r="H12" s="161">
        <v>31854274</v>
      </c>
      <c r="I12" s="162">
        <f>IFERROR(H12/G12-1,"-")</f>
        <v>5.2904126489936365E-2</v>
      </c>
      <c r="J12" s="179">
        <f t="shared" si="0"/>
        <v>1.8822451821841248</v>
      </c>
      <c r="K12" s="161">
        <f t="shared" si="1"/>
        <v>1600547</v>
      </c>
      <c r="L12" s="161">
        <f t="shared" si="2"/>
        <v>20802378</v>
      </c>
      <c r="M12" s="162">
        <f>H12/H$8</f>
        <v>0.88295857486933138</v>
      </c>
      <c r="N12" s="81"/>
    </row>
    <row r="13" spans="1:14" s="57" customFormat="1" x14ac:dyDescent="0.25">
      <c r="B13" s="164" t="s">
        <v>112</v>
      </c>
      <c r="C13" s="165">
        <v>13160030</v>
      </c>
      <c r="D13" s="165">
        <v>3390819</v>
      </c>
      <c r="E13" s="165">
        <v>3350798</v>
      </c>
      <c r="F13" s="165">
        <v>12657617</v>
      </c>
      <c r="G13" s="165">
        <v>13883101</v>
      </c>
      <c r="H13" s="165">
        <v>14673664</v>
      </c>
      <c r="I13" s="166">
        <f t="shared" ref="I13:I20" si="3">IFERROR(H13/G13-1,"-")</f>
        <v>5.6944266270194221E-2</v>
      </c>
      <c r="J13" s="180">
        <f t="shared" si="0"/>
        <v>3.3791550550048077</v>
      </c>
      <c r="K13" s="165">
        <f t="shared" si="1"/>
        <v>790563</v>
      </c>
      <c r="L13" s="165">
        <f t="shared" si="2"/>
        <v>11322866</v>
      </c>
      <c r="M13" s="166">
        <f t="shared" ref="M13:M20" si="4">H13/H$8</f>
        <v>0.40673466466545155</v>
      </c>
      <c r="N13" s="167"/>
    </row>
    <row r="14" spans="1:14" s="57" customFormat="1" x14ac:dyDescent="0.25">
      <c r="B14" s="164" t="s">
        <v>115</v>
      </c>
      <c r="C14" s="165">
        <v>4424103</v>
      </c>
      <c r="D14" s="165">
        <v>1278654</v>
      </c>
      <c r="E14" s="165">
        <v>1806937</v>
      </c>
      <c r="F14" s="165">
        <v>3169256</v>
      </c>
      <c r="G14" s="165">
        <v>3598054</v>
      </c>
      <c r="H14" s="165">
        <v>3756774</v>
      </c>
      <c r="I14" s="166">
        <f t="shared" si="3"/>
        <v>4.4112734272470533E-2</v>
      </c>
      <c r="J14" s="180">
        <f t="shared" si="0"/>
        <v>1.0790841075256083</v>
      </c>
      <c r="K14" s="165">
        <f t="shared" si="1"/>
        <v>158720</v>
      </c>
      <c r="L14" s="165">
        <f t="shared" si="2"/>
        <v>1949837</v>
      </c>
      <c r="M14" s="166">
        <f t="shared" si="4"/>
        <v>0.10413283370219512</v>
      </c>
      <c r="N14" s="167"/>
    </row>
    <row r="15" spans="1:14" x14ac:dyDescent="0.25">
      <c r="A15" s="1"/>
      <c r="B15" s="164" t="s">
        <v>118</v>
      </c>
      <c r="C15" s="165">
        <v>1180822</v>
      </c>
      <c r="D15" s="165">
        <v>395218</v>
      </c>
      <c r="E15" s="165">
        <v>815902</v>
      </c>
      <c r="F15" s="165">
        <v>1288352</v>
      </c>
      <c r="G15" s="165">
        <v>1520450</v>
      </c>
      <c r="H15" s="165">
        <v>1590542</v>
      </c>
      <c r="I15" s="166">
        <f t="shared" si="3"/>
        <v>4.6099510013482892E-2</v>
      </c>
      <c r="J15" s="180">
        <f t="shared" si="0"/>
        <v>0.94942774990133616</v>
      </c>
      <c r="K15" s="165">
        <f t="shared" si="1"/>
        <v>70092</v>
      </c>
      <c r="L15" s="165">
        <f t="shared" si="2"/>
        <v>774640</v>
      </c>
      <c r="M15" s="166">
        <f t="shared" si="4"/>
        <v>4.408773207607293E-2</v>
      </c>
      <c r="N15" s="81"/>
    </row>
    <row r="16" spans="1:14" x14ac:dyDescent="0.25">
      <c r="A16" s="1"/>
      <c r="B16" s="164" t="s">
        <v>125</v>
      </c>
      <c r="C16" s="165">
        <v>1116998</v>
      </c>
      <c r="D16" s="165">
        <v>302698</v>
      </c>
      <c r="E16" s="165">
        <v>691981</v>
      </c>
      <c r="F16" s="165">
        <v>1287744</v>
      </c>
      <c r="G16" s="165">
        <v>1318357</v>
      </c>
      <c r="H16" s="165">
        <v>1375692</v>
      </c>
      <c r="I16" s="166">
        <f t="shared" si="3"/>
        <v>4.3489737605216128E-2</v>
      </c>
      <c r="J16" s="180">
        <f t="shared" si="0"/>
        <v>0.98804880480822455</v>
      </c>
      <c r="K16" s="165">
        <f t="shared" si="1"/>
        <v>57335</v>
      </c>
      <c r="L16" s="165">
        <f t="shared" si="2"/>
        <v>683711</v>
      </c>
      <c r="M16" s="166">
        <f t="shared" si="4"/>
        <v>3.8132372685032473E-2</v>
      </c>
      <c r="N16" s="81"/>
    </row>
    <row r="17" spans="1:14" x14ac:dyDescent="0.25">
      <c r="A17" s="1"/>
      <c r="B17" s="164" t="s">
        <v>121</v>
      </c>
      <c r="C17" s="165">
        <v>1084813</v>
      </c>
      <c r="D17" s="165">
        <v>443857</v>
      </c>
      <c r="E17" s="165">
        <v>726467</v>
      </c>
      <c r="F17" s="165">
        <v>1124652</v>
      </c>
      <c r="G17" s="165">
        <v>1172687</v>
      </c>
      <c r="H17" s="165">
        <v>1202962</v>
      </c>
      <c r="I17" s="166">
        <f t="shared" si="3"/>
        <v>2.5816778049044586E-2</v>
      </c>
      <c r="J17" s="180">
        <f t="shared" si="0"/>
        <v>0.65590728828701095</v>
      </c>
      <c r="K17" s="165">
        <f t="shared" si="1"/>
        <v>30275</v>
      </c>
      <c r="L17" s="165">
        <f t="shared" si="2"/>
        <v>476495</v>
      </c>
      <c r="M17" s="166">
        <f t="shared" si="4"/>
        <v>3.3344524290271398E-2</v>
      </c>
      <c r="N17" s="81"/>
    </row>
    <row r="18" spans="1:14" x14ac:dyDescent="0.25">
      <c r="A18" s="1"/>
      <c r="B18" s="164" t="s">
        <v>130</v>
      </c>
      <c r="C18" s="165">
        <v>594834</v>
      </c>
      <c r="D18" s="165">
        <v>241432</v>
      </c>
      <c r="E18" s="165">
        <v>191434</v>
      </c>
      <c r="F18" s="165">
        <v>491173</v>
      </c>
      <c r="G18" s="165">
        <v>523681</v>
      </c>
      <c r="H18" s="165">
        <v>511763</v>
      </c>
      <c r="I18" s="166">
        <f t="shared" si="3"/>
        <v>-2.2758129471949551E-2</v>
      </c>
      <c r="J18" s="180">
        <f t="shared" si="0"/>
        <v>1.6733129956016173</v>
      </c>
      <c r="K18" s="165">
        <f t="shared" si="1"/>
        <v>-11918</v>
      </c>
      <c r="L18" s="165">
        <f t="shared" si="2"/>
        <v>320329</v>
      </c>
      <c r="M18" s="166">
        <f t="shared" si="4"/>
        <v>1.4185397198217533E-2</v>
      </c>
      <c r="N18" s="81"/>
    </row>
    <row r="19" spans="1:14" x14ac:dyDescent="0.25">
      <c r="A19" s="163" t="s">
        <v>146</v>
      </c>
      <c r="B19" s="164" t="s">
        <v>133</v>
      </c>
      <c r="C19" s="165">
        <v>847396</v>
      </c>
      <c r="D19" s="165">
        <v>356220</v>
      </c>
      <c r="E19" s="165">
        <v>171613</v>
      </c>
      <c r="F19" s="165">
        <v>432862</v>
      </c>
      <c r="G19" s="165">
        <v>543249</v>
      </c>
      <c r="H19" s="165">
        <v>528059</v>
      </c>
      <c r="I19" s="166">
        <f t="shared" si="3"/>
        <v>-2.796139523496588E-2</v>
      </c>
      <c r="J19" s="180">
        <f t="shared" si="0"/>
        <v>2.0770337911463583</v>
      </c>
      <c r="K19" s="165">
        <f t="shared" si="1"/>
        <v>-15190</v>
      </c>
      <c r="L19" s="165">
        <f t="shared" si="2"/>
        <v>356446</v>
      </c>
      <c r="M19" s="166">
        <f t="shared" si="4"/>
        <v>1.463710088281793E-2</v>
      </c>
      <c r="N19" s="81"/>
    </row>
    <row r="20" spans="1:14" x14ac:dyDescent="0.25">
      <c r="A20" s="168" t="s">
        <v>147</v>
      </c>
      <c r="B20" s="169" t="s">
        <v>147</v>
      </c>
      <c r="C20" s="170">
        <f t="shared" ref="C20" si="5">C12-SUM(C13:C19)</f>
        <v>7011837</v>
      </c>
      <c r="D20" s="170">
        <f t="shared" ref="D20:H20" si="6">D12-SUM(D13:D19)</f>
        <v>2168558</v>
      </c>
      <c r="E20" s="170">
        <f t="shared" si="6"/>
        <v>3296764</v>
      </c>
      <c r="F20" s="170">
        <f t="shared" si="6"/>
        <v>6800013</v>
      </c>
      <c r="G20" s="170">
        <f t="shared" si="6"/>
        <v>7694148</v>
      </c>
      <c r="H20" s="170">
        <f t="shared" si="6"/>
        <v>8214818</v>
      </c>
      <c r="I20" s="171">
        <f t="shared" si="3"/>
        <v>6.7670910411393281E-2</v>
      </c>
      <c r="J20" s="181">
        <f t="shared" si="0"/>
        <v>1.4917822446496021</v>
      </c>
      <c r="K20" s="170">
        <f>H20-G20</f>
        <v>520670</v>
      </c>
      <c r="L20" s="170">
        <f t="shared" si="2"/>
        <v>4918054</v>
      </c>
      <c r="M20" s="171">
        <f t="shared" si="4"/>
        <v>0.22770394936927241</v>
      </c>
      <c r="N20" s="81"/>
    </row>
    <row r="21" spans="1:14" s="147" customFormat="1" x14ac:dyDescent="0.25">
      <c r="B21" s="156" t="s">
        <v>46</v>
      </c>
      <c r="C21" s="154"/>
      <c r="D21" s="154"/>
      <c r="E21" s="154"/>
      <c r="F21" s="154"/>
      <c r="G21" s="154"/>
      <c r="H21" s="154"/>
      <c r="I21" s="154"/>
      <c r="J21" s="154"/>
      <c r="K21" s="154"/>
      <c r="L21" s="154"/>
      <c r="M21" s="154"/>
    </row>
    <row r="22" spans="1:14" x14ac:dyDescent="0.25">
      <c r="A22" s="1">
        <v>3</v>
      </c>
      <c r="B22" s="157" t="s">
        <v>70</v>
      </c>
      <c r="C22" s="177">
        <v>13105945</v>
      </c>
      <c r="D22" s="177">
        <v>3913809</v>
      </c>
      <c r="E22" s="177">
        <v>5763674</v>
      </c>
      <c r="F22" s="177">
        <v>12632387</v>
      </c>
      <c r="G22" s="177">
        <v>13590517</v>
      </c>
      <c r="H22" s="177">
        <v>13839613</v>
      </c>
      <c r="I22" s="178">
        <f>IFERROR(H22/G22-1,"-")</f>
        <v>1.8328662551983843E-2</v>
      </c>
      <c r="J22" s="178">
        <f>IFERROR(H22/E22-1,"-")</f>
        <v>1.4011790049194315</v>
      </c>
      <c r="K22" s="177">
        <f>H22-G22</f>
        <v>249096</v>
      </c>
      <c r="L22" s="177">
        <f>H22-E22</f>
        <v>8075939</v>
      </c>
      <c r="M22" s="178">
        <f>H22/H$8</f>
        <v>0.38361586803777326</v>
      </c>
      <c r="N22" s="81"/>
    </row>
    <row r="23" spans="1:14" x14ac:dyDescent="0.25">
      <c r="A23" s="1" t="s">
        <v>98</v>
      </c>
      <c r="B23" s="160" t="s">
        <v>99</v>
      </c>
      <c r="C23" s="161">
        <v>1013579</v>
      </c>
      <c r="D23" s="161">
        <v>419753</v>
      </c>
      <c r="E23" s="161">
        <v>926094</v>
      </c>
      <c r="F23" s="161">
        <v>924124</v>
      </c>
      <c r="G23" s="161">
        <v>817242</v>
      </c>
      <c r="H23" s="161">
        <v>742610</v>
      </c>
      <c r="I23" s="162">
        <f>IFERROR(H23/G23-1,"-")</f>
        <v>-9.132178718176498E-2</v>
      </c>
      <c r="J23" s="179">
        <f t="shared" ref="J23:J34" si="7">IFERROR(H23/E23-1,"-")</f>
        <v>-0.19812675603124519</v>
      </c>
      <c r="K23" s="161">
        <f t="shared" ref="K23:K33" si="8">H23-G23</f>
        <v>-74632</v>
      </c>
      <c r="L23" s="161">
        <f t="shared" ref="L23:L34" si="9">H23-E23</f>
        <v>-183484</v>
      </c>
      <c r="M23" s="162">
        <f>H23/H$8</f>
        <v>2.0584172387156402E-2</v>
      </c>
      <c r="N23" s="81"/>
    </row>
    <row r="24" spans="1:14" x14ac:dyDescent="0.25">
      <c r="A24" s="163" t="s">
        <v>105</v>
      </c>
      <c r="B24" s="164" t="s">
        <v>105</v>
      </c>
      <c r="C24" s="165">
        <v>409352</v>
      </c>
      <c r="D24" s="165">
        <v>197437</v>
      </c>
      <c r="E24" s="165">
        <v>341894</v>
      </c>
      <c r="F24" s="165">
        <v>286571</v>
      </c>
      <c r="G24" s="165">
        <v>256506</v>
      </c>
      <c r="H24" s="165">
        <v>219209</v>
      </c>
      <c r="I24" s="166">
        <f>IFERROR(H24/G24-1,"-")</f>
        <v>-0.14540400614410576</v>
      </c>
      <c r="J24" s="180">
        <f t="shared" si="7"/>
        <v>-0.35883928937038967</v>
      </c>
      <c r="K24" s="165">
        <f t="shared" si="8"/>
        <v>-37297</v>
      </c>
      <c r="L24" s="165">
        <f t="shared" si="9"/>
        <v>-122685</v>
      </c>
      <c r="M24" s="166">
        <f>H24/H$8</f>
        <v>6.0761851373078305E-3</v>
      </c>
      <c r="N24" s="81"/>
    </row>
    <row r="25" spans="1:14" x14ac:dyDescent="0.25">
      <c r="A25" s="163" t="s">
        <v>102</v>
      </c>
      <c r="B25" s="164" t="s">
        <v>102</v>
      </c>
      <c r="C25" s="165">
        <v>604227</v>
      </c>
      <c r="D25" s="165">
        <v>222316</v>
      </c>
      <c r="E25" s="165">
        <v>584200</v>
      </c>
      <c r="F25" s="165">
        <v>637553</v>
      </c>
      <c r="G25" s="165">
        <v>560736</v>
      </c>
      <c r="H25" s="165">
        <v>523401</v>
      </c>
      <c r="I25" s="166">
        <f>IFERROR(H25/G25-1,"-")</f>
        <v>-6.6582134908406143E-2</v>
      </c>
      <c r="J25" s="180">
        <f t="shared" si="7"/>
        <v>-0.10407223553577538</v>
      </c>
      <c r="K25" s="165">
        <f t="shared" si="8"/>
        <v>-37335</v>
      </c>
      <c r="L25" s="165">
        <f t="shared" si="9"/>
        <v>-60799</v>
      </c>
      <c r="M25" s="166">
        <f>H25/H$8</f>
        <v>1.4507987249848572E-2</v>
      </c>
      <c r="N25" s="81"/>
    </row>
    <row r="26" spans="1:14" x14ac:dyDescent="0.25">
      <c r="A26" s="1"/>
      <c r="B26" s="160" t="s">
        <v>109</v>
      </c>
      <c r="C26" s="161">
        <v>12092366</v>
      </c>
      <c r="D26" s="161">
        <v>3494056</v>
      </c>
      <c r="E26" s="161">
        <v>4837580</v>
      </c>
      <c r="F26" s="161">
        <v>11708263</v>
      </c>
      <c r="G26" s="161">
        <v>12773275</v>
      </c>
      <c r="H26" s="161">
        <v>13097003</v>
      </c>
      <c r="I26" s="162">
        <f>IFERROR(H26/G26-1,"-")</f>
        <v>2.5344165846268973E-2</v>
      </c>
      <c r="J26" s="179">
        <f t="shared" si="7"/>
        <v>1.7073460283860937</v>
      </c>
      <c r="K26" s="161">
        <f t="shared" si="8"/>
        <v>323728</v>
      </c>
      <c r="L26" s="161">
        <f t="shared" si="9"/>
        <v>8259423</v>
      </c>
      <c r="M26" s="162">
        <f>H26/H$8</f>
        <v>0.36303169565061683</v>
      </c>
      <c r="N26" s="81"/>
    </row>
    <row r="27" spans="1:14" s="57" customFormat="1" x14ac:dyDescent="0.25">
      <c r="B27" s="164" t="s">
        <v>112</v>
      </c>
      <c r="C27" s="165">
        <v>5650065</v>
      </c>
      <c r="D27" s="165">
        <v>1483938</v>
      </c>
      <c r="E27" s="165">
        <v>1575483</v>
      </c>
      <c r="F27" s="165">
        <v>5839663</v>
      </c>
      <c r="G27" s="165">
        <v>6456134</v>
      </c>
      <c r="H27" s="165">
        <v>6689570</v>
      </c>
      <c r="I27" s="166">
        <f t="shared" ref="I27:I34" si="10">IFERROR(H27/G27-1,"-")</f>
        <v>3.6157242089460917E-2</v>
      </c>
      <c r="J27" s="180">
        <f t="shared" si="7"/>
        <v>3.2460439116131372</v>
      </c>
      <c r="K27" s="165">
        <f t="shared" si="8"/>
        <v>233436</v>
      </c>
      <c r="L27" s="165">
        <f t="shared" si="9"/>
        <v>5114087</v>
      </c>
      <c r="M27" s="166">
        <f t="shared" ref="M27:M34" si="11">H27/H$8</f>
        <v>0.1854260810869095</v>
      </c>
      <c r="N27" s="167"/>
    </row>
    <row r="28" spans="1:14" s="57" customFormat="1" x14ac:dyDescent="0.25">
      <c r="B28" s="164" t="s">
        <v>115</v>
      </c>
      <c r="C28" s="165">
        <v>1813831</v>
      </c>
      <c r="D28" s="165">
        <v>510569</v>
      </c>
      <c r="E28" s="165">
        <v>851193</v>
      </c>
      <c r="F28" s="165">
        <v>1420539</v>
      </c>
      <c r="G28" s="165">
        <v>1496214</v>
      </c>
      <c r="H28" s="165">
        <v>1483358</v>
      </c>
      <c r="I28" s="166">
        <f t="shared" si="10"/>
        <v>-8.5923537675760553E-3</v>
      </c>
      <c r="J28" s="180">
        <f t="shared" si="7"/>
        <v>0.7426811545677654</v>
      </c>
      <c r="K28" s="165">
        <f t="shared" si="8"/>
        <v>-12856</v>
      </c>
      <c r="L28" s="165">
        <f t="shared" si="9"/>
        <v>632165</v>
      </c>
      <c r="M28" s="166">
        <f t="shared" si="11"/>
        <v>4.111673258354661E-2</v>
      </c>
      <c r="N28" s="167"/>
    </row>
    <row r="29" spans="1:14" x14ac:dyDescent="0.25">
      <c r="A29" s="1"/>
      <c r="B29" s="164" t="s">
        <v>118</v>
      </c>
      <c r="C29" s="165">
        <v>428540</v>
      </c>
      <c r="D29" s="165">
        <v>173273</v>
      </c>
      <c r="E29" s="165">
        <v>321437</v>
      </c>
      <c r="F29" s="165">
        <v>466813</v>
      </c>
      <c r="G29" s="165">
        <v>535409</v>
      </c>
      <c r="H29" s="165">
        <v>462244</v>
      </c>
      <c r="I29" s="166">
        <f t="shared" si="10"/>
        <v>-0.13665254039435271</v>
      </c>
      <c r="J29" s="180">
        <f t="shared" si="7"/>
        <v>0.43805473545360374</v>
      </c>
      <c r="K29" s="165">
        <f t="shared" si="8"/>
        <v>-73165</v>
      </c>
      <c r="L29" s="165">
        <f t="shared" si="9"/>
        <v>140807</v>
      </c>
      <c r="M29" s="166">
        <f t="shared" si="11"/>
        <v>1.281279565441985E-2</v>
      </c>
      <c r="N29" s="81"/>
    </row>
    <row r="30" spans="1:14" x14ac:dyDescent="0.25">
      <c r="A30" s="1"/>
      <c r="B30" s="164" t="s">
        <v>125</v>
      </c>
      <c r="C30" s="165">
        <v>502164</v>
      </c>
      <c r="D30" s="165">
        <v>134940</v>
      </c>
      <c r="E30" s="165">
        <v>321774</v>
      </c>
      <c r="F30" s="165">
        <v>583899</v>
      </c>
      <c r="G30" s="165">
        <v>553235</v>
      </c>
      <c r="H30" s="165">
        <v>562616</v>
      </c>
      <c r="I30" s="166">
        <f t="shared" si="10"/>
        <v>1.695662783446461E-2</v>
      </c>
      <c r="J30" s="180">
        <f t="shared" si="7"/>
        <v>0.7484818537234208</v>
      </c>
      <c r="K30" s="165">
        <f t="shared" si="8"/>
        <v>9381</v>
      </c>
      <c r="L30" s="165">
        <f t="shared" si="9"/>
        <v>240842</v>
      </c>
      <c r="M30" s="166">
        <f t="shared" si="11"/>
        <v>1.5594975467300988E-2</v>
      </c>
      <c r="N30" s="81"/>
    </row>
    <row r="31" spans="1:14" x14ac:dyDescent="0.25">
      <c r="A31" s="1"/>
      <c r="B31" s="164" t="s">
        <v>121</v>
      </c>
      <c r="C31" s="165">
        <v>566275</v>
      </c>
      <c r="D31" s="165">
        <v>241515</v>
      </c>
      <c r="E31" s="165">
        <v>414396</v>
      </c>
      <c r="F31" s="165">
        <v>639629</v>
      </c>
      <c r="G31" s="165">
        <v>619738</v>
      </c>
      <c r="H31" s="165">
        <v>632422</v>
      </c>
      <c r="I31" s="166">
        <f t="shared" si="10"/>
        <v>2.0466713353062049E-2</v>
      </c>
      <c r="J31" s="180">
        <f t="shared" si="7"/>
        <v>0.52612959584551966</v>
      </c>
      <c r="K31" s="165">
        <f t="shared" si="8"/>
        <v>12684</v>
      </c>
      <c r="L31" s="165">
        <f t="shared" si="9"/>
        <v>218026</v>
      </c>
      <c r="M31" s="166">
        <f t="shared" si="11"/>
        <v>1.7529905966025539E-2</v>
      </c>
      <c r="N31" s="81"/>
    </row>
    <row r="32" spans="1:14" x14ac:dyDescent="0.25">
      <c r="A32" s="1"/>
      <c r="B32" s="164" t="s">
        <v>130</v>
      </c>
      <c r="C32" s="165">
        <v>242464</v>
      </c>
      <c r="D32" s="165">
        <v>95128</v>
      </c>
      <c r="E32" s="165">
        <v>58069</v>
      </c>
      <c r="F32" s="165">
        <v>177706</v>
      </c>
      <c r="G32" s="165">
        <v>184473</v>
      </c>
      <c r="H32" s="165">
        <v>184792</v>
      </c>
      <c r="I32" s="166">
        <f t="shared" si="10"/>
        <v>1.7292503509998003E-3</v>
      </c>
      <c r="J32" s="180">
        <f t="shared" si="7"/>
        <v>2.1822831459126211</v>
      </c>
      <c r="K32" s="165">
        <f t="shared" si="8"/>
        <v>319</v>
      </c>
      <c r="L32" s="165">
        <f t="shared" si="9"/>
        <v>126723</v>
      </c>
      <c r="M32" s="166">
        <f t="shared" si="11"/>
        <v>5.122191168671855E-3</v>
      </c>
      <c r="N32" s="81"/>
    </row>
    <row r="33" spans="1:14" x14ac:dyDescent="0.25">
      <c r="A33" s="163" t="s">
        <v>146</v>
      </c>
      <c r="B33" s="164" t="s">
        <v>133</v>
      </c>
      <c r="C33" s="165">
        <v>276453</v>
      </c>
      <c r="D33" s="165">
        <v>106598</v>
      </c>
      <c r="E33" s="165">
        <v>43884</v>
      </c>
      <c r="F33" s="165">
        <v>147837</v>
      </c>
      <c r="G33" s="165">
        <v>187545</v>
      </c>
      <c r="H33" s="165">
        <v>166807</v>
      </c>
      <c r="I33" s="166">
        <f t="shared" si="10"/>
        <v>-0.11057612839585163</v>
      </c>
      <c r="J33" s="180">
        <f t="shared" si="7"/>
        <v>2.8010892352565855</v>
      </c>
      <c r="K33" s="165">
        <f t="shared" si="8"/>
        <v>-20738</v>
      </c>
      <c r="L33" s="165">
        <f t="shared" si="9"/>
        <v>122923</v>
      </c>
      <c r="M33" s="166">
        <f t="shared" si="11"/>
        <v>4.6236706257448707E-3</v>
      </c>
      <c r="N33" s="81"/>
    </row>
    <row r="34" spans="1:14" x14ac:dyDescent="0.25">
      <c r="A34" s="168" t="s">
        <v>147</v>
      </c>
      <c r="B34" s="169" t="s">
        <v>147</v>
      </c>
      <c r="C34" s="170">
        <f t="shared" ref="C34" si="12">C26-SUM(C27:C33)</f>
        <v>2612574</v>
      </c>
      <c r="D34" s="170">
        <f t="shared" ref="D34:H34" si="13">D26-SUM(D27:D33)</f>
        <v>748095</v>
      </c>
      <c r="E34" s="170">
        <f t="shared" si="13"/>
        <v>1251344</v>
      </c>
      <c r="F34" s="170">
        <f t="shared" si="13"/>
        <v>2432177</v>
      </c>
      <c r="G34" s="170">
        <f t="shared" si="13"/>
        <v>2740527</v>
      </c>
      <c r="H34" s="170">
        <f t="shared" si="13"/>
        <v>2915194</v>
      </c>
      <c r="I34" s="171">
        <f t="shared" si="10"/>
        <v>6.3734821806170849E-2</v>
      </c>
      <c r="J34" s="181">
        <f t="shared" si="7"/>
        <v>1.3296503599329998</v>
      </c>
      <c r="K34" s="170">
        <f>H34-G34</f>
        <v>174667</v>
      </c>
      <c r="L34" s="170">
        <f t="shared" si="9"/>
        <v>1663850</v>
      </c>
      <c r="M34" s="171">
        <f t="shared" si="11"/>
        <v>8.0805343097997639E-2</v>
      </c>
      <c r="N34" s="81"/>
    </row>
    <row r="35" spans="1:14" s="147" customFormat="1" x14ac:dyDescent="0.25">
      <c r="B35" s="156" t="s">
        <v>47</v>
      </c>
      <c r="C35" s="154"/>
      <c r="D35" s="154"/>
      <c r="E35" s="154"/>
      <c r="F35" s="154"/>
      <c r="G35" s="154"/>
      <c r="H35" s="154"/>
      <c r="I35" s="154"/>
      <c r="J35" s="154"/>
      <c r="K35" s="154"/>
      <c r="L35" s="154"/>
      <c r="M35" s="154"/>
    </row>
    <row r="36" spans="1:14" x14ac:dyDescent="0.25">
      <c r="A36" s="1">
        <v>3</v>
      </c>
      <c r="B36" s="157" t="s">
        <v>70</v>
      </c>
      <c r="C36" s="177">
        <v>10093577</v>
      </c>
      <c r="D36" s="177">
        <v>2858440</v>
      </c>
      <c r="E36" s="177">
        <v>3367162</v>
      </c>
      <c r="F36" s="177">
        <v>8865243</v>
      </c>
      <c r="G36" s="177">
        <v>9739308</v>
      </c>
      <c r="H36" s="177">
        <v>10014981</v>
      </c>
      <c r="I36" s="178">
        <f>IFERROR(H36/G36-1,"-")</f>
        <v>2.8305193757092395E-2</v>
      </c>
      <c r="J36" s="178">
        <f>IFERROR(H36/E36-1,"-")</f>
        <v>1.9743092253951549</v>
      </c>
      <c r="K36" s="177">
        <f>H36-G36</f>
        <v>275673</v>
      </c>
      <c r="L36" s="177">
        <f>H36-E36</f>
        <v>6647819</v>
      </c>
      <c r="M36" s="178">
        <f>H36/H$8</f>
        <v>0.2776020998344973</v>
      </c>
      <c r="N36" s="81"/>
    </row>
    <row r="37" spans="1:14" x14ac:dyDescent="0.25">
      <c r="A37" s="1" t="s">
        <v>98</v>
      </c>
      <c r="B37" s="160" t="s">
        <v>99</v>
      </c>
      <c r="C37" s="161">
        <v>614530</v>
      </c>
      <c r="D37" s="161">
        <v>241430</v>
      </c>
      <c r="E37" s="161">
        <v>350874</v>
      </c>
      <c r="F37" s="161">
        <v>513218</v>
      </c>
      <c r="G37" s="161">
        <v>576863</v>
      </c>
      <c r="H37" s="161">
        <v>551747</v>
      </c>
      <c r="I37" s="162">
        <f>IFERROR(H37/G37-1,"-")</f>
        <v>-4.3538933854312067E-2</v>
      </c>
      <c r="J37" s="179">
        <f t="shared" ref="J37:J48" si="14">IFERROR(H37/E37-1,"-")</f>
        <v>0.57249325968866316</v>
      </c>
      <c r="K37" s="161">
        <f t="shared" ref="K37:K47" si="15">H37-G37</f>
        <v>-25116</v>
      </c>
      <c r="L37" s="161">
        <f t="shared" ref="L37:L48" si="16">H37-E37</f>
        <v>200873</v>
      </c>
      <c r="M37" s="162">
        <f>H37/H$8</f>
        <v>1.529370108414428E-2</v>
      </c>
      <c r="N37" s="81"/>
    </row>
    <row r="38" spans="1:14" x14ac:dyDescent="0.25">
      <c r="A38" s="163" t="s">
        <v>105</v>
      </c>
      <c r="B38" s="164" t="s">
        <v>105</v>
      </c>
      <c r="C38" s="165">
        <v>210543</v>
      </c>
      <c r="D38" s="165">
        <v>92534</v>
      </c>
      <c r="E38" s="165">
        <v>131066</v>
      </c>
      <c r="F38" s="165">
        <v>155108</v>
      </c>
      <c r="G38" s="165">
        <v>218201</v>
      </c>
      <c r="H38" s="165">
        <v>239030</v>
      </c>
      <c r="I38" s="166">
        <f>IFERROR(H38/G38-1,"-")</f>
        <v>9.5457857663347134E-2</v>
      </c>
      <c r="J38" s="180">
        <f t="shared" si="14"/>
        <v>0.82373765888941453</v>
      </c>
      <c r="K38" s="165">
        <f t="shared" si="15"/>
        <v>20829</v>
      </c>
      <c r="L38" s="165">
        <f t="shared" si="16"/>
        <v>107964</v>
      </c>
      <c r="M38" s="166">
        <f>H38/H$8</f>
        <v>6.6255971852008395E-3</v>
      </c>
      <c r="N38" s="81"/>
    </row>
    <row r="39" spans="1:14" x14ac:dyDescent="0.25">
      <c r="A39" s="163" t="s">
        <v>102</v>
      </c>
      <c r="B39" s="164" t="s">
        <v>102</v>
      </c>
      <c r="C39" s="165">
        <v>403987</v>
      </c>
      <c r="D39" s="165">
        <v>148896</v>
      </c>
      <c r="E39" s="165">
        <v>219808</v>
      </c>
      <c r="F39" s="165">
        <v>358110</v>
      </c>
      <c r="G39" s="165">
        <v>358662</v>
      </c>
      <c r="H39" s="165">
        <v>312717</v>
      </c>
      <c r="I39" s="166">
        <f>IFERROR(H39/G39-1,"-")</f>
        <v>-0.1281011091222376</v>
      </c>
      <c r="J39" s="180">
        <f t="shared" si="14"/>
        <v>0.4226825229291018</v>
      </c>
      <c r="K39" s="165">
        <f t="shared" si="15"/>
        <v>-45945</v>
      </c>
      <c r="L39" s="165">
        <f t="shared" si="16"/>
        <v>92909</v>
      </c>
      <c r="M39" s="166">
        <f>H39/H$8</f>
        <v>8.6681038989434422E-3</v>
      </c>
      <c r="N39" s="81"/>
    </row>
    <row r="40" spans="1:14" x14ac:dyDescent="0.25">
      <c r="A40" s="1"/>
      <c r="B40" s="160" t="s">
        <v>109</v>
      </c>
      <c r="C40" s="161">
        <v>9479047</v>
      </c>
      <c r="D40" s="161">
        <v>2617010</v>
      </c>
      <c r="E40" s="161">
        <v>3016288</v>
      </c>
      <c r="F40" s="161">
        <v>8352025</v>
      </c>
      <c r="G40" s="161">
        <v>9162445</v>
      </c>
      <c r="H40" s="161">
        <v>9463234</v>
      </c>
      <c r="I40" s="162">
        <f>IFERROR(H40/G40-1,"-")</f>
        <v>3.2828464454629724E-2</v>
      </c>
      <c r="J40" s="179">
        <f t="shared" si="14"/>
        <v>2.1373774652818298</v>
      </c>
      <c r="K40" s="161">
        <f t="shared" si="15"/>
        <v>300789</v>
      </c>
      <c r="L40" s="161">
        <f t="shared" si="16"/>
        <v>6446946</v>
      </c>
      <c r="M40" s="162">
        <f>H40/H$8</f>
        <v>0.262308398750353</v>
      </c>
      <c r="N40" s="81"/>
    </row>
    <row r="41" spans="1:14" s="57" customFormat="1" x14ac:dyDescent="0.25">
      <c r="B41" s="164" t="s">
        <v>112</v>
      </c>
      <c r="C41" s="165">
        <v>5094935</v>
      </c>
      <c r="D41" s="165">
        <v>1173619</v>
      </c>
      <c r="E41" s="165">
        <v>1066343</v>
      </c>
      <c r="F41" s="165">
        <v>4256430</v>
      </c>
      <c r="G41" s="165">
        <v>4628153</v>
      </c>
      <c r="H41" s="165">
        <v>4858902</v>
      </c>
      <c r="I41" s="166">
        <f t="shared" ref="I41:I48" si="17">IFERROR(H41/G41-1,"-")</f>
        <v>4.9857686208731655E-2</v>
      </c>
      <c r="J41" s="180">
        <f t="shared" si="14"/>
        <v>3.5566032693045297</v>
      </c>
      <c r="K41" s="165">
        <f t="shared" si="15"/>
        <v>230749</v>
      </c>
      <c r="L41" s="165">
        <f t="shared" si="16"/>
        <v>3792559</v>
      </c>
      <c r="M41" s="166">
        <f t="shared" ref="M41:M48" si="18">H41/H$8</f>
        <v>0.13468237214728998</v>
      </c>
      <c r="N41" s="167"/>
    </row>
    <row r="42" spans="1:14" s="57" customFormat="1" x14ac:dyDescent="0.25">
      <c r="B42" s="164" t="s">
        <v>115</v>
      </c>
      <c r="C42" s="165">
        <v>470924</v>
      </c>
      <c r="D42" s="165">
        <v>139836</v>
      </c>
      <c r="E42" s="165">
        <v>174981</v>
      </c>
      <c r="F42" s="165">
        <v>311196</v>
      </c>
      <c r="G42" s="165">
        <v>358380</v>
      </c>
      <c r="H42" s="165">
        <v>358116</v>
      </c>
      <c r="I42" s="166">
        <f t="shared" si="17"/>
        <v>-7.3664825046038107E-4</v>
      </c>
      <c r="J42" s="180">
        <f t="shared" si="14"/>
        <v>1.0465993450717508</v>
      </c>
      <c r="K42" s="165">
        <f t="shared" si="15"/>
        <v>-264</v>
      </c>
      <c r="L42" s="165">
        <f t="shared" si="16"/>
        <v>183135</v>
      </c>
      <c r="M42" s="166">
        <f t="shared" si="18"/>
        <v>9.9265044620984125E-3</v>
      </c>
      <c r="N42" s="167"/>
    </row>
    <row r="43" spans="1:14" x14ac:dyDescent="0.25">
      <c r="A43" s="1"/>
      <c r="B43" s="164" t="s">
        <v>118</v>
      </c>
      <c r="C43" s="165">
        <v>178407</v>
      </c>
      <c r="D43" s="165">
        <v>67848</v>
      </c>
      <c r="E43" s="165">
        <v>127385</v>
      </c>
      <c r="F43" s="165">
        <v>198903</v>
      </c>
      <c r="G43" s="165">
        <v>247793</v>
      </c>
      <c r="H43" s="165">
        <v>245648</v>
      </c>
      <c r="I43" s="166">
        <f t="shared" si="17"/>
        <v>-8.6564188657468621E-3</v>
      </c>
      <c r="J43" s="180">
        <f t="shared" si="14"/>
        <v>0.92839031283118101</v>
      </c>
      <c r="K43" s="165">
        <f t="shared" si="15"/>
        <v>-2145</v>
      </c>
      <c r="L43" s="165">
        <f t="shared" si="16"/>
        <v>118263</v>
      </c>
      <c r="M43" s="166">
        <f t="shared" si="18"/>
        <v>6.8090394400293509E-3</v>
      </c>
      <c r="N43" s="81"/>
    </row>
    <row r="44" spans="1:14" x14ac:dyDescent="0.25">
      <c r="A44" s="1"/>
      <c r="B44" s="164" t="s">
        <v>125</v>
      </c>
      <c r="C44" s="165">
        <v>451476</v>
      </c>
      <c r="D44" s="165">
        <v>124287</v>
      </c>
      <c r="E44" s="165">
        <v>239923</v>
      </c>
      <c r="F44" s="165">
        <v>477050</v>
      </c>
      <c r="G44" s="165">
        <v>501096</v>
      </c>
      <c r="H44" s="165">
        <v>499671</v>
      </c>
      <c r="I44" s="166">
        <f t="shared" si="17"/>
        <v>-2.8437664639111571E-3</v>
      </c>
      <c r="J44" s="180">
        <f t="shared" si="14"/>
        <v>1.0826306773423138</v>
      </c>
      <c r="K44" s="165">
        <f t="shared" si="15"/>
        <v>-1425</v>
      </c>
      <c r="L44" s="165">
        <f t="shared" si="16"/>
        <v>259748</v>
      </c>
      <c r="M44" s="166">
        <f t="shared" si="18"/>
        <v>1.3850222863768098E-2</v>
      </c>
      <c r="N44" s="81"/>
    </row>
    <row r="45" spans="1:14" x14ac:dyDescent="0.25">
      <c r="A45" s="1"/>
      <c r="B45" s="164" t="s">
        <v>121</v>
      </c>
      <c r="C45" s="165">
        <v>353625</v>
      </c>
      <c r="D45" s="165">
        <v>131712</v>
      </c>
      <c r="E45" s="165">
        <v>184201</v>
      </c>
      <c r="F45" s="165">
        <v>318686</v>
      </c>
      <c r="G45" s="165">
        <v>374932</v>
      </c>
      <c r="H45" s="165">
        <v>372782</v>
      </c>
      <c r="I45" s="166">
        <f t="shared" si="17"/>
        <v>-5.7343731663341835E-3</v>
      </c>
      <c r="J45" s="180">
        <f t="shared" si="14"/>
        <v>1.0237783725386942</v>
      </c>
      <c r="K45" s="165">
        <f t="shared" si="15"/>
        <v>-2150</v>
      </c>
      <c r="L45" s="165">
        <f t="shared" si="16"/>
        <v>188581</v>
      </c>
      <c r="M45" s="166">
        <f t="shared" si="18"/>
        <v>1.0333026690764921E-2</v>
      </c>
      <c r="N45" s="81"/>
    </row>
    <row r="46" spans="1:14" x14ac:dyDescent="0.25">
      <c r="A46" s="1"/>
      <c r="B46" s="164" t="s">
        <v>130</v>
      </c>
      <c r="C46" s="165">
        <v>227686</v>
      </c>
      <c r="D46" s="165">
        <v>86739</v>
      </c>
      <c r="E46" s="165">
        <v>81833</v>
      </c>
      <c r="F46" s="165">
        <v>185692</v>
      </c>
      <c r="G46" s="165">
        <v>188339</v>
      </c>
      <c r="H46" s="165">
        <v>187108</v>
      </c>
      <c r="I46" s="166">
        <f t="shared" si="17"/>
        <v>-6.5360865248301758E-3</v>
      </c>
      <c r="J46" s="180">
        <f t="shared" si="14"/>
        <v>1.2864614519814745</v>
      </c>
      <c r="K46" s="165">
        <f t="shared" si="15"/>
        <v>-1231</v>
      </c>
      <c r="L46" s="165">
        <f t="shared" si="16"/>
        <v>105275</v>
      </c>
      <c r="M46" s="166">
        <f t="shared" si="18"/>
        <v>5.1863876422564474E-3</v>
      </c>
      <c r="N46" s="81"/>
    </row>
    <row r="47" spans="1:14" x14ac:dyDescent="0.25">
      <c r="A47" s="163" t="s">
        <v>146</v>
      </c>
      <c r="B47" s="164" t="s">
        <v>133</v>
      </c>
      <c r="C47" s="165">
        <v>366669</v>
      </c>
      <c r="D47" s="165">
        <v>150036</v>
      </c>
      <c r="E47" s="165">
        <v>88248</v>
      </c>
      <c r="F47" s="165">
        <v>188228</v>
      </c>
      <c r="G47" s="165">
        <v>224522</v>
      </c>
      <c r="H47" s="165">
        <v>217369</v>
      </c>
      <c r="I47" s="166">
        <f t="shared" si="17"/>
        <v>-3.1858793347645187E-2</v>
      </c>
      <c r="J47" s="180">
        <f t="shared" si="14"/>
        <v>1.4631606382014324</v>
      </c>
      <c r="K47" s="165">
        <f t="shared" si="15"/>
        <v>-7153</v>
      </c>
      <c r="L47" s="165">
        <f t="shared" si="16"/>
        <v>129121</v>
      </c>
      <c r="M47" s="166">
        <f t="shared" si="18"/>
        <v>6.0251827576033182E-3</v>
      </c>
      <c r="N47" s="81"/>
    </row>
    <row r="48" spans="1:14" x14ac:dyDescent="0.25">
      <c r="A48" s="168" t="s">
        <v>147</v>
      </c>
      <c r="B48" s="169" t="s">
        <v>147</v>
      </c>
      <c r="C48" s="170">
        <f t="shared" ref="C48:H48" si="19">C40-SUM(C41:C47)</f>
        <v>2335325</v>
      </c>
      <c r="D48" s="170">
        <f t="shared" si="19"/>
        <v>742933</v>
      </c>
      <c r="E48" s="170">
        <f t="shared" si="19"/>
        <v>1053374</v>
      </c>
      <c r="F48" s="170">
        <f t="shared" si="19"/>
        <v>2415840</v>
      </c>
      <c r="G48" s="170">
        <f t="shared" si="19"/>
        <v>2639230</v>
      </c>
      <c r="H48" s="170">
        <f t="shared" si="19"/>
        <v>2723638</v>
      </c>
      <c r="I48" s="171">
        <f t="shared" si="17"/>
        <v>3.1982055372210771E-2</v>
      </c>
      <c r="J48" s="181">
        <f t="shared" si="14"/>
        <v>1.5856324534305952</v>
      </c>
      <c r="K48" s="170">
        <f>H48-G48</f>
        <v>84408</v>
      </c>
      <c r="L48" s="170">
        <f t="shared" si="16"/>
        <v>1670264</v>
      </c>
      <c r="M48" s="171">
        <f t="shared" si="18"/>
        <v>7.5495662746542458E-2</v>
      </c>
      <c r="N48" s="81"/>
    </row>
    <row r="49" spans="1:14" s="147" customFormat="1" x14ac:dyDescent="0.25">
      <c r="B49" s="156" t="s">
        <v>48</v>
      </c>
      <c r="C49" s="154"/>
      <c r="D49" s="154"/>
      <c r="E49" s="154"/>
      <c r="F49" s="154"/>
      <c r="G49" s="154"/>
      <c r="H49" s="154"/>
      <c r="I49" s="154"/>
      <c r="J49" s="154"/>
      <c r="K49" s="154"/>
      <c r="L49" s="154"/>
      <c r="M49" s="154"/>
    </row>
    <row r="50" spans="1:14" x14ac:dyDescent="0.25">
      <c r="A50" s="1">
        <v>3</v>
      </c>
      <c r="B50" s="157" t="s">
        <v>70</v>
      </c>
      <c r="C50" s="177">
        <v>234787</v>
      </c>
      <c r="D50" s="177">
        <v>65275</v>
      </c>
      <c r="E50" s="177">
        <v>98762</v>
      </c>
      <c r="F50" s="177">
        <v>168339</v>
      </c>
      <c r="G50" s="177">
        <v>182035</v>
      </c>
      <c r="H50" s="177">
        <v>194642</v>
      </c>
      <c r="I50" s="178">
        <f>IFERROR(H50/G50-1,"-")</f>
        <v>6.925591232455286E-2</v>
      </c>
      <c r="J50" s="178">
        <f>IFERROR(H50/E50-1,"-")</f>
        <v>0.97081873595107426</v>
      </c>
      <c r="K50" s="177">
        <f>H50-G50</f>
        <v>12607</v>
      </c>
      <c r="L50" s="177">
        <f>H50-E50</f>
        <v>95880</v>
      </c>
      <c r="M50" s="178">
        <f>H50/H$8</f>
        <v>5.3952202121987274E-3</v>
      </c>
      <c r="N50" s="81"/>
    </row>
    <row r="51" spans="1:14" x14ac:dyDescent="0.25">
      <c r="A51" s="1" t="s">
        <v>98</v>
      </c>
      <c r="B51" s="160" t="s">
        <v>99</v>
      </c>
      <c r="C51" s="161">
        <v>30969</v>
      </c>
      <c r="D51" s="161">
        <v>6950</v>
      </c>
      <c r="E51" s="161">
        <v>17286</v>
      </c>
      <c r="F51" s="161">
        <v>21218</v>
      </c>
      <c r="G51" s="161">
        <v>40235</v>
      </c>
      <c r="H51" s="161">
        <v>25819</v>
      </c>
      <c r="I51" s="162">
        <f>IFERROR(H51/G51-1,"-")</f>
        <v>-0.35829501677643838</v>
      </c>
      <c r="J51" s="179">
        <f t="shared" ref="J51:J62" si="20">IFERROR(H51/E51-1,"-")</f>
        <v>0.49363646881869716</v>
      </c>
      <c r="K51" s="161">
        <f t="shared" ref="K51:K61" si="21">H51-G51</f>
        <v>-14416</v>
      </c>
      <c r="L51" s="161">
        <f t="shared" ref="L51:L62" si="22">H51-E51</f>
        <v>8533</v>
      </c>
      <c r="M51" s="162">
        <f>H51/H$8</f>
        <v>7.1566871825586942E-4</v>
      </c>
      <c r="N51" s="81"/>
    </row>
    <row r="52" spans="1:14" x14ac:dyDescent="0.25">
      <c r="A52" s="163" t="s">
        <v>105</v>
      </c>
      <c r="B52" s="164" t="s">
        <v>105</v>
      </c>
      <c r="C52" s="165">
        <v>12961</v>
      </c>
      <c r="D52" s="165">
        <v>5003</v>
      </c>
      <c r="E52" s="165">
        <v>6990</v>
      </c>
      <c r="F52" s="165">
        <v>6990</v>
      </c>
      <c r="G52" s="165">
        <v>25164</v>
      </c>
      <c r="H52" s="165">
        <v>14324</v>
      </c>
      <c r="I52" s="166">
        <f>IFERROR(H52/G52-1,"-")</f>
        <v>-0.43077412176124619</v>
      </c>
      <c r="J52" s="180">
        <f t="shared" si="20"/>
        <v>1.0492131616595137</v>
      </c>
      <c r="K52" s="165">
        <f t="shared" si="21"/>
        <v>-10840</v>
      </c>
      <c r="L52" s="165">
        <f t="shared" si="22"/>
        <v>7334</v>
      </c>
      <c r="M52" s="166">
        <f>H52/H$8</f>
        <v>3.9704243852577842E-4</v>
      </c>
      <c r="N52" s="81"/>
    </row>
    <row r="53" spans="1:14" x14ac:dyDescent="0.25">
      <c r="A53" s="163" t="s">
        <v>102</v>
      </c>
      <c r="B53" s="164" t="s">
        <v>102</v>
      </c>
      <c r="C53" s="165">
        <v>18008</v>
      </c>
      <c r="D53" s="165">
        <v>1947</v>
      </c>
      <c r="E53" s="165">
        <v>10296</v>
      </c>
      <c r="F53" s="165">
        <v>14228</v>
      </c>
      <c r="G53" s="165">
        <v>15071</v>
      </c>
      <c r="H53" s="165">
        <v>11495</v>
      </c>
      <c r="I53" s="166">
        <f>IFERROR(H53/G53-1,"-")</f>
        <v>-0.23727688939021963</v>
      </c>
      <c r="J53" s="180">
        <f t="shared" si="20"/>
        <v>0.11645299145299148</v>
      </c>
      <c r="K53" s="165">
        <f t="shared" si="21"/>
        <v>-3576</v>
      </c>
      <c r="L53" s="165">
        <f t="shared" si="22"/>
        <v>1199</v>
      </c>
      <c r="M53" s="166">
        <f>H53/H$8</f>
        <v>3.1862627973009095E-4</v>
      </c>
      <c r="N53" s="81"/>
    </row>
    <row r="54" spans="1:14" x14ac:dyDescent="0.25">
      <c r="A54" s="1"/>
      <c r="B54" s="160" t="s">
        <v>109</v>
      </c>
      <c r="C54" s="161">
        <v>203818</v>
      </c>
      <c r="D54" s="161">
        <v>58325</v>
      </c>
      <c r="E54" s="161">
        <v>81476</v>
      </c>
      <c r="F54" s="161">
        <v>147121</v>
      </c>
      <c r="G54" s="161">
        <v>141800</v>
      </c>
      <c r="H54" s="161">
        <v>168823</v>
      </c>
      <c r="I54" s="162">
        <f>IFERROR(H54/G54-1,"-")</f>
        <v>0.19057122708039498</v>
      </c>
      <c r="J54" s="179">
        <f t="shared" si="20"/>
        <v>1.0720580293583386</v>
      </c>
      <c r="K54" s="161">
        <f t="shared" si="21"/>
        <v>27023</v>
      </c>
      <c r="L54" s="161">
        <f t="shared" si="22"/>
        <v>87347</v>
      </c>
      <c r="M54" s="162">
        <f>H54/H$8</f>
        <v>4.6795514939428576E-3</v>
      </c>
      <c r="N54" s="81"/>
    </row>
    <row r="55" spans="1:14" s="57" customFormat="1" x14ac:dyDescent="0.25">
      <c r="B55" s="164" t="s">
        <v>112</v>
      </c>
      <c r="C55" s="165">
        <v>67733</v>
      </c>
      <c r="D55" s="165">
        <v>19771</v>
      </c>
      <c r="E55" s="165">
        <v>20693</v>
      </c>
      <c r="F55" s="165">
        <v>65122</v>
      </c>
      <c r="G55" s="165">
        <v>55484</v>
      </c>
      <c r="H55" s="165">
        <v>69733</v>
      </c>
      <c r="I55" s="166">
        <f t="shared" ref="I55:I62" si="23">IFERROR(H55/G55-1,"-")</f>
        <v>0.25681277485401188</v>
      </c>
      <c r="J55" s="180">
        <f t="shared" si="20"/>
        <v>2.3698835354950951</v>
      </c>
      <c r="K55" s="165">
        <f t="shared" si="21"/>
        <v>14249</v>
      </c>
      <c r="L55" s="165">
        <f t="shared" si="22"/>
        <v>49040</v>
      </c>
      <c r="M55" s="166">
        <f t="shared" ref="M55:M62" si="24">H55/H$8</f>
        <v>1.9329070347471452E-3</v>
      </c>
      <c r="N55" s="167"/>
    </row>
    <row r="56" spans="1:14" s="57" customFormat="1" x14ac:dyDescent="0.25">
      <c r="B56" s="164" t="s">
        <v>115</v>
      </c>
      <c r="C56" s="165">
        <v>69940</v>
      </c>
      <c r="D56" s="165">
        <v>18669</v>
      </c>
      <c r="E56" s="165">
        <v>31230</v>
      </c>
      <c r="F56" s="165">
        <v>34084</v>
      </c>
      <c r="G56" s="165">
        <v>34465</v>
      </c>
      <c r="H56" s="165">
        <v>39071</v>
      </c>
      <c r="I56" s="166">
        <f t="shared" si="23"/>
        <v>0.13364282605541855</v>
      </c>
      <c r="J56" s="180">
        <f t="shared" si="20"/>
        <v>0.25107268651937242</v>
      </c>
      <c r="K56" s="165">
        <f t="shared" si="21"/>
        <v>4606</v>
      </c>
      <c r="L56" s="165">
        <f t="shared" si="22"/>
        <v>7841</v>
      </c>
      <c r="M56" s="166">
        <f t="shared" si="24"/>
        <v>1.0829967268668451E-3</v>
      </c>
      <c r="N56" s="167"/>
    </row>
    <row r="57" spans="1:14" x14ac:dyDescent="0.25">
      <c r="A57" s="1"/>
      <c r="B57" s="164" t="s">
        <v>118</v>
      </c>
      <c r="C57" s="165">
        <v>6792</v>
      </c>
      <c r="D57" s="165">
        <v>1519</v>
      </c>
      <c r="E57" s="165">
        <v>3873</v>
      </c>
      <c r="F57" s="165">
        <v>6397</v>
      </c>
      <c r="G57" s="165">
        <v>6784</v>
      </c>
      <c r="H57" s="165">
        <v>6674</v>
      </c>
      <c r="I57" s="166">
        <f t="shared" si="23"/>
        <v>-1.6214622641509413E-2</v>
      </c>
      <c r="J57" s="180">
        <f t="shared" si="20"/>
        <v>0.72321198037696877</v>
      </c>
      <c r="K57" s="165">
        <f t="shared" si="21"/>
        <v>-110</v>
      </c>
      <c r="L57" s="165">
        <f t="shared" si="22"/>
        <v>2801</v>
      </c>
      <c r="M57" s="166">
        <f t="shared" si="24"/>
        <v>1.849945011673447E-4</v>
      </c>
      <c r="N57" s="81"/>
    </row>
    <row r="58" spans="1:14" x14ac:dyDescent="0.25">
      <c r="A58" s="1"/>
      <c r="B58" s="164" t="s">
        <v>125</v>
      </c>
      <c r="C58" s="165">
        <v>3713</v>
      </c>
      <c r="D58" s="165">
        <v>1082</v>
      </c>
      <c r="E58" s="165">
        <v>2191</v>
      </c>
      <c r="F58" s="165">
        <v>3053</v>
      </c>
      <c r="G58" s="165">
        <v>2811</v>
      </c>
      <c r="H58" s="165">
        <v>4837</v>
      </c>
      <c r="I58" s="166">
        <f t="shared" si="23"/>
        <v>0.72073995019565995</v>
      </c>
      <c r="J58" s="180">
        <f t="shared" si="20"/>
        <v>1.2076677316293929</v>
      </c>
      <c r="K58" s="165">
        <f t="shared" si="21"/>
        <v>2026</v>
      </c>
      <c r="L58" s="165">
        <f t="shared" si="22"/>
        <v>2646</v>
      </c>
      <c r="M58" s="166">
        <f t="shared" si="24"/>
        <v>1.3407527751669858E-4</v>
      </c>
      <c r="N58" s="81"/>
    </row>
    <row r="59" spans="1:14" x14ac:dyDescent="0.25">
      <c r="A59" s="1"/>
      <c r="B59" s="164" t="s">
        <v>121</v>
      </c>
      <c r="C59" s="165">
        <v>4285</v>
      </c>
      <c r="D59" s="165">
        <v>1095</v>
      </c>
      <c r="E59" s="165">
        <v>1459</v>
      </c>
      <c r="F59" s="165">
        <v>2254</v>
      </c>
      <c r="G59" s="165">
        <v>2628</v>
      </c>
      <c r="H59" s="165">
        <v>3308</v>
      </c>
      <c r="I59" s="166">
        <f t="shared" si="23"/>
        <v>0.25875190258751912</v>
      </c>
      <c r="J59" s="180">
        <f t="shared" si="20"/>
        <v>1.2673063742289239</v>
      </c>
      <c r="K59" s="165">
        <f t="shared" si="21"/>
        <v>680</v>
      </c>
      <c r="L59" s="165">
        <f t="shared" si="22"/>
        <v>1849</v>
      </c>
      <c r="M59" s="166">
        <f t="shared" si="24"/>
        <v>9.1693408729633829E-5</v>
      </c>
      <c r="N59" s="81"/>
    </row>
    <row r="60" spans="1:14" x14ac:dyDescent="0.25">
      <c r="A60" s="1"/>
      <c r="B60" s="164" t="s">
        <v>130</v>
      </c>
      <c r="C60" s="165">
        <v>1783</v>
      </c>
      <c r="D60" s="165">
        <v>713</v>
      </c>
      <c r="E60" s="165">
        <v>445</v>
      </c>
      <c r="F60" s="165">
        <v>554</v>
      </c>
      <c r="G60" s="165">
        <v>804</v>
      </c>
      <c r="H60" s="165">
        <v>636</v>
      </c>
      <c r="I60" s="166">
        <f t="shared" si="23"/>
        <v>-0.20895522388059706</v>
      </c>
      <c r="J60" s="180">
        <f t="shared" si="20"/>
        <v>0.42921348314606744</v>
      </c>
      <c r="K60" s="165">
        <f t="shared" si="21"/>
        <v>-168</v>
      </c>
      <c r="L60" s="165">
        <f t="shared" si="22"/>
        <v>191</v>
      </c>
      <c r="M60" s="166">
        <f t="shared" si="24"/>
        <v>1.7629083419603121E-5</v>
      </c>
      <c r="N60" s="81"/>
    </row>
    <row r="61" spans="1:14" x14ac:dyDescent="0.25">
      <c r="A61" s="163" t="s">
        <v>146</v>
      </c>
      <c r="B61" s="164" t="s">
        <v>133</v>
      </c>
      <c r="C61" s="165">
        <v>3475</v>
      </c>
      <c r="D61" s="165">
        <v>1531</v>
      </c>
      <c r="E61" s="165">
        <v>432</v>
      </c>
      <c r="F61" s="165">
        <v>418</v>
      </c>
      <c r="G61" s="165">
        <v>635</v>
      </c>
      <c r="H61" s="165">
        <v>633</v>
      </c>
      <c r="I61" s="166">
        <f t="shared" si="23"/>
        <v>-3.1496062992125706E-3</v>
      </c>
      <c r="J61" s="180">
        <f t="shared" si="20"/>
        <v>0.46527777777777768</v>
      </c>
      <c r="K61" s="165">
        <f t="shared" si="21"/>
        <v>-2</v>
      </c>
      <c r="L61" s="165">
        <f t="shared" si="22"/>
        <v>201</v>
      </c>
      <c r="M61" s="166">
        <f t="shared" si="24"/>
        <v>1.7545927365737068E-5</v>
      </c>
      <c r="N61" s="81"/>
    </row>
    <row r="62" spans="1:14" x14ac:dyDescent="0.25">
      <c r="A62" s="168" t="s">
        <v>147</v>
      </c>
      <c r="B62" s="169" t="s">
        <v>147</v>
      </c>
      <c r="C62" s="170">
        <f t="shared" ref="C62:H62" si="25">C54-SUM(C55:C61)</f>
        <v>46097</v>
      </c>
      <c r="D62" s="170">
        <f t="shared" si="25"/>
        <v>13945</v>
      </c>
      <c r="E62" s="170">
        <f t="shared" si="25"/>
        <v>21153</v>
      </c>
      <c r="F62" s="170">
        <f t="shared" si="25"/>
        <v>35239</v>
      </c>
      <c r="G62" s="170">
        <f t="shared" si="25"/>
        <v>38189</v>
      </c>
      <c r="H62" s="170">
        <f t="shared" si="25"/>
        <v>43931</v>
      </c>
      <c r="I62" s="171">
        <f t="shared" si="23"/>
        <v>0.15035743276859836</v>
      </c>
      <c r="J62" s="181">
        <f t="shared" si="20"/>
        <v>1.0768212546683684</v>
      </c>
      <c r="K62" s="170">
        <f>H62-G62</f>
        <v>5742</v>
      </c>
      <c r="L62" s="170">
        <f t="shared" si="22"/>
        <v>22778</v>
      </c>
      <c r="M62" s="171">
        <f t="shared" si="24"/>
        <v>1.2177095341298501E-3</v>
      </c>
      <c r="N62" s="81"/>
    </row>
    <row r="63" spans="1:14" s="147" customFormat="1" x14ac:dyDescent="0.25">
      <c r="B63" s="156" t="s">
        <v>49</v>
      </c>
      <c r="C63" s="154"/>
      <c r="D63" s="154"/>
      <c r="E63" s="154"/>
      <c r="F63" s="154"/>
      <c r="G63" s="154"/>
      <c r="H63" s="154"/>
      <c r="I63" s="154"/>
      <c r="J63" s="154"/>
      <c r="K63" s="154"/>
      <c r="L63" s="154"/>
      <c r="M63" s="154"/>
    </row>
    <row r="64" spans="1:14" x14ac:dyDescent="0.25">
      <c r="A64" s="1">
        <v>3</v>
      </c>
      <c r="B64" s="157" t="s">
        <v>70</v>
      </c>
      <c r="C64" s="177">
        <v>834528</v>
      </c>
      <c r="D64" s="177">
        <v>295880</v>
      </c>
      <c r="E64" s="177">
        <v>419370</v>
      </c>
      <c r="F64" s="177">
        <v>1014697</v>
      </c>
      <c r="G64" s="177">
        <v>1034949</v>
      </c>
      <c r="H64" s="177">
        <v>1361415</v>
      </c>
      <c r="I64" s="178">
        <f>IFERROR(H64/G64-1,"-")</f>
        <v>0.31544163045715301</v>
      </c>
      <c r="J64" s="178">
        <f>IFERROR(H64/E64-1,"-")</f>
        <v>2.2463337863938766</v>
      </c>
      <c r="K64" s="177">
        <f>H64-G64</f>
        <v>326466</v>
      </c>
      <c r="L64" s="177">
        <f>H64-E64</f>
        <v>942045</v>
      </c>
      <c r="M64" s="178">
        <f>H64/H$8</f>
        <v>3.7736633024683934E-2</v>
      </c>
      <c r="N64" s="81"/>
    </row>
    <row r="65" spans="1:14" x14ac:dyDescent="0.25">
      <c r="A65" s="1" t="s">
        <v>98</v>
      </c>
      <c r="B65" s="160" t="s">
        <v>99</v>
      </c>
      <c r="C65" s="161">
        <v>158439</v>
      </c>
      <c r="D65" s="161">
        <v>84704</v>
      </c>
      <c r="E65" s="161">
        <v>83752</v>
      </c>
      <c r="F65" s="161">
        <v>119256</v>
      </c>
      <c r="G65" s="161">
        <v>173467</v>
      </c>
      <c r="H65" s="161">
        <v>256345</v>
      </c>
      <c r="I65" s="162">
        <f>IFERROR(H65/G65-1,"-")</f>
        <v>0.47777387053445319</v>
      </c>
      <c r="J65" s="179">
        <f t="shared" ref="J65:J76" si="26">IFERROR(H65/E65-1,"-")</f>
        <v>2.0607627280542555</v>
      </c>
      <c r="K65" s="161">
        <f t="shared" ref="K65:K75" si="27">H65-G65</f>
        <v>82878</v>
      </c>
      <c r="L65" s="161">
        <f t="shared" ref="L65:L76" si="28">H65-E65</f>
        <v>172593</v>
      </c>
      <c r="M65" s="162">
        <f>H65/H$8</f>
        <v>7.1055462094310714E-3</v>
      </c>
      <c r="N65" s="81"/>
    </row>
    <row r="66" spans="1:14" x14ac:dyDescent="0.25">
      <c r="A66" s="163" t="s">
        <v>105</v>
      </c>
      <c r="B66" s="164" t="s">
        <v>105</v>
      </c>
      <c r="C66" s="165">
        <v>67992</v>
      </c>
      <c r="D66" s="165">
        <v>23458</v>
      </c>
      <c r="E66" s="165">
        <v>59324</v>
      </c>
      <c r="F66" s="165">
        <v>72718</v>
      </c>
      <c r="G66" s="165">
        <v>91538</v>
      </c>
      <c r="H66" s="165">
        <v>124261</v>
      </c>
      <c r="I66" s="166">
        <f>IFERROR(H66/G66-1,"-")</f>
        <v>0.35747995368043872</v>
      </c>
      <c r="J66" s="180">
        <f t="shared" si="26"/>
        <v>1.094616007012339</v>
      </c>
      <c r="K66" s="165">
        <f t="shared" si="27"/>
        <v>32723</v>
      </c>
      <c r="L66" s="165">
        <f t="shared" si="28"/>
        <v>64937</v>
      </c>
      <c r="M66" s="166">
        <f>H66/H$8</f>
        <v>3.4443514698165147E-3</v>
      </c>
      <c r="N66" s="81"/>
    </row>
    <row r="67" spans="1:14" x14ac:dyDescent="0.25">
      <c r="A67" s="163" t="s">
        <v>102</v>
      </c>
      <c r="B67" s="164" t="s">
        <v>102</v>
      </c>
      <c r="C67" s="165">
        <v>90447</v>
      </c>
      <c r="D67" s="165">
        <v>61246</v>
      </c>
      <c r="E67" s="165">
        <v>24428</v>
      </c>
      <c r="F67" s="165">
        <v>46538</v>
      </c>
      <c r="G67" s="165">
        <v>81929</v>
      </c>
      <c r="H67" s="165">
        <v>132084</v>
      </c>
      <c r="I67" s="166">
        <f>IFERROR(H67/G67-1,"-")</f>
        <v>0.61217639663611179</v>
      </c>
      <c r="J67" s="180">
        <f t="shared" si="26"/>
        <v>4.4070738496806943</v>
      </c>
      <c r="K67" s="165">
        <f t="shared" si="27"/>
        <v>50155</v>
      </c>
      <c r="L67" s="165">
        <f t="shared" si="28"/>
        <v>107656</v>
      </c>
      <c r="M67" s="166">
        <f>H67/H$8</f>
        <v>3.6611947396145571E-3</v>
      </c>
      <c r="N67" s="81"/>
    </row>
    <row r="68" spans="1:14" x14ac:dyDescent="0.25">
      <c r="A68" s="1"/>
      <c r="B68" s="160" t="s">
        <v>109</v>
      </c>
      <c r="C68" s="161">
        <v>676089</v>
      </c>
      <c r="D68" s="161">
        <v>211176</v>
      </c>
      <c r="E68" s="161">
        <v>335618</v>
      </c>
      <c r="F68" s="161">
        <v>895441</v>
      </c>
      <c r="G68" s="161">
        <v>861482</v>
      </c>
      <c r="H68" s="161">
        <v>1105070</v>
      </c>
      <c r="I68" s="162">
        <f>IFERROR(H68/G68-1,"-")</f>
        <v>0.28275460195337798</v>
      </c>
      <c r="J68" s="179">
        <f t="shared" si="26"/>
        <v>2.2926422301545211</v>
      </c>
      <c r="K68" s="161">
        <f t="shared" si="27"/>
        <v>243588</v>
      </c>
      <c r="L68" s="161">
        <f t="shared" si="28"/>
        <v>769452</v>
      </c>
      <c r="M68" s="162">
        <f>H68/H$8</f>
        <v>3.063108681525286E-2</v>
      </c>
      <c r="N68" s="81"/>
    </row>
    <row r="69" spans="1:14" s="57" customFormat="1" x14ac:dyDescent="0.25">
      <c r="B69" s="164" t="s">
        <v>112</v>
      </c>
      <c r="C69" s="165">
        <v>286315</v>
      </c>
      <c r="D69" s="165">
        <v>94120</v>
      </c>
      <c r="E69" s="165">
        <v>85414</v>
      </c>
      <c r="F69" s="165">
        <v>399420</v>
      </c>
      <c r="G69" s="165">
        <v>324780</v>
      </c>
      <c r="H69" s="165">
        <v>454766</v>
      </c>
      <c r="I69" s="166">
        <f t="shared" ref="I69:I76" si="29">IFERROR(H69/G69-1,"-")</f>
        <v>0.40022784654227483</v>
      </c>
      <c r="J69" s="180">
        <f t="shared" si="26"/>
        <v>4.3242559767719575</v>
      </c>
      <c r="K69" s="165">
        <f t="shared" si="27"/>
        <v>129986</v>
      </c>
      <c r="L69" s="165">
        <f t="shared" si="28"/>
        <v>369352</v>
      </c>
      <c r="M69" s="166">
        <f t="shared" ref="M69:M76" si="30">H69/H$8</f>
        <v>1.2605515330816403E-2</v>
      </c>
      <c r="N69" s="167"/>
    </row>
    <row r="70" spans="1:14" s="57" customFormat="1" x14ac:dyDescent="0.25">
      <c r="B70" s="164" t="s">
        <v>115</v>
      </c>
      <c r="C70" s="165">
        <v>94492</v>
      </c>
      <c r="D70" s="165">
        <v>27344</v>
      </c>
      <c r="E70" s="165">
        <v>36140</v>
      </c>
      <c r="F70" s="165">
        <v>56705</v>
      </c>
      <c r="G70" s="165">
        <v>85292</v>
      </c>
      <c r="H70" s="165">
        <v>78559</v>
      </c>
      <c r="I70" s="166">
        <f t="shared" si="29"/>
        <v>-7.8940580593725107E-2</v>
      </c>
      <c r="J70" s="180">
        <f t="shared" si="26"/>
        <v>1.1737410071942445</v>
      </c>
      <c r="K70" s="165">
        <f t="shared" si="27"/>
        <v>-6733</v>
      </c>
      <c r="L70" s="165">
        <f t="shared" si="28"/>
        <v>42419</v>
      </c>
      <c r="M70" s="166">
        <f t="shared" si="30"/>
        <v>2.1775521452210714E-3</v>
      </c>
      <c r="N70" s="167"/>
    </row>
    <row r="71" spans="1:14" x14ac:dyDescent="0.25">
      <c r="A71" s="1"/>
      <c r="B71" s="164" t="s">
        <v>118</v>
      </c>
      <c r="C71" s="165">
        <v>75234</v>
      </c>
      <c r="D71" s="165">
        <v>21566</v>
      </c>
      <c r="E71" s="165">
        <v>44372</v>
      </c>
      <c r="F71" s="165">
        <v>126795</v>
      </c>
      <c r="G71" s="165">
        <v>108706</v>
      </c>
      <c r="H71" s="165">
        <v>131979</v>
      </c>
      <c r="I71" s="166">
        <f t="shared" si="29"/>
        <v>0.21409121851599733</v>
      </c>
      <c r="J71" s="180">
        <f t="shared" si="26"/>
        <v>1.9743757324438835</v>
      </c>
      <c r="K71" s="165">
        <f t="shared" si="27"/>
        <v>23273</v>
      </c>
      <c r="L71" s="165">
        <f t="shared" si="28"/>
        <v>87607</v>
      </c>
      <c r="M71" s="166">
        <f t="shared" si="30"/>
        <v>3.6582842777292453E-3</v>
      </c>
      <c r="N71" s="81"/>
    </row>
    <row r="72" spans="1:14" x14ac:dyDescent="0.25">
      <c r="A72" s="1"/>
      <c r="B72" s="164" t="s">
        <v>125</v>
      </c>
      <c r="C72" s="165">
        <v>11792</v>
      </c>
      <c r="D72" s="165">
        <v>3914</v>
      </c>
      <c r="E72" s="165">
        <v>28426</v>
      </c>
      <c r="F72" s="165">
        <v>25157</v>
      </c>
      <c r="G72" s="165">
        <v>26613</v>
      </c>
      <c r="H72" s="165">
        <v>47499</v>
      </c>
      <c r="I72" s="166">
        <f t="shared" si="29"/>
        <v>0.7848044188930221</v>
      </c>
      <c r="J72" s="180">
        <f t="shared" si="26"/>
        <v>0.67097023851403637</v>
      </c>
      <c r="K72" s="165">
        <f t="shared" si="27"/>
        <v>20886</v>
      </c>
      <c r="L72" s="165">
        <f t="shared" si="28"/>
        <v>19073</v>
      </c>
      <c r="M72" s="166">
        <f t="shared" si="30"/>
        <v>1.3166098008612083E-3</v>
      </c>
      <c r="N72" s="81"/>
    </row>
    <row r="73" spans="1:14" x14ac:dyDescent="0.25">
      <c r="A73" s="1"/>
      <c r="B73" s="164" t="s">
        <v>121</v>
      </c>
      <c r="C73" s="165">
        <v>17507</v>
      </c>
      <c r="D73" s="165">
        <v>8571</v>
      </c>
      <c r="E73" s="165">
        <v>16869</v>
      </c>
      <c r="F73" s="165">
        <v>22926</v>
      </c>
      <c r="G73" s="165">
        <v>17467</v>
      </c>
      <c r="H73" s="165">
        <v>27574</v>
      </c>
      <c r="I73" s="166">
        <f t="shared" si="29"/>
        <v>0.5786339955344364</v>
      </c>
      <c r="J73" s="180">
        <f t="shared" si="26"/>
        <v>0.63459600450530562</v>
      </c>
      <c r="K73" s="165">
        <f t="shared" si="27"/>
        <v>10107</v>
      </c>
      <c r="L73" s="165">
        <f t="shared" si="28"/>
        <v>10705</v>
      </c>
      <c r="M73" s="166">
        <f t="shared" si="30"/>
        <v>7.6431500976751005E-4</v>
      </c>
      <c r="N73" s="81"/>
    </row>
    <row r="74" spans="1:14" x14ac:dyDescent="0.25">
      <c r="A74" s="1"/>
      <c r="B74" s="164" t="s">
        <v>130</v>
      </c>
      <c r="C74" s="165">
        <v>15819</v>
      </c>
      <c r="D74" s="165">
        <v>5541</v>
      </c>
      <c r="E74" s="165">
        <v>14404</v>
      </c>
      <c r="F74" s="165">
        <v>20957</v>
      </c>
      <c r="G74" s="165">
        <v>26801</v>
      </c>
      <c r="H74" s="165">
        <v>24320</v>
      </c>
      <c r="I74" s="166">
        <f t="shared" si="29"/>
        <v>-9.2571172717435868E-2</v>
      </c>
      <c r="J74" s="180">
        <f t="shared" si="26"/>
        <v>0.68841988336573179</v>
      </c>
      <c r="K74" s="165">
        <f t="shared" si="27"/>
        <v>-2481</v>
      </c>
      <c r="L74" s="165">
        <f t="shared" si="28"/>
        <v>9916</v>
      </c>
      <c r="M74" s="166">
        <f t="shared" si="30"/>
        <v>6.7411841000746518E-4</v>
      </c>
      <c r="N74" s="81"/>
    </row>
    <row r="75" spans="1:14" x14ac:dyDescent="0.25">
      <c r="A75" s="163" t="s">
        <v>146</v>
      </c>
      <c r="B75" s="164" t="s">
        <v>133</v>
      </c>
      <c r="C75" s="165">
        <v>12733</v>
      </c>
      <c r="D75" s="165">
        <v>5018</v>
      </c>
      <c r="E75" s="165">
        <v>1659</v>
      </c>
      <c r="F75" s="165">
        <v>6100</v>
      </c>
      <c r="G75" s="165">
        <v>7680</v>
      </c>
      <c r="H75" s="165">
        <v>21506</v>
      </c>
      <c r="I75" s="166">
        <f t="shared" si="29"/>
        <v>1.8002604166666667</v>
      </c>
      <c r="J75" s="180">
        <f t="shared" si="26"/>
        <v>11.963230861965039</v>
      </c>
      <c r="K75" s="165">
        <f t="shared" si="27"/>
        <v>13826</v>
      </c>
      <c r="L75" s="165">
        <f t="shared" si="28"/>
        <v>19847</v>
      </c>
      <c r="M75" s="166">
        <f t="shared" si="30"/>
        <v>5.9611803148110795E-4</v>
      </c>
      <c r="N75" s="81"/>
    </row>
    <row r="76" spans="1:14" x14ac:dyDescent="0.25">
      <c r="A76" s="168" t="s">
        <v>147</v>
      </c>
      <c r="B76" s="169" t="s">
        <v>147</v>
      </c>
      <c r="C76" s="170">
        <f t="shared" ref="C76:H76" si="31">C68-SUM(C69:C75)</f>
        <v>162197</v>
      </c>
      <c r="D76" s="170">
        <f t="shared" si="31"/>
        <v>45102</v>
      </c>
      <c r="E76" s="170">
        <f t="shared" si="31"/>
        <v>108334</v>
      </c>
      <c r="F76" s="170">
        <f t="shared" si="31"/>
        <v>237381</v>
      </c>
      <c r="G76" s="170">
        <f t="shared" si="31"/>
        <v>264143</v>
      </c>
      <c r="H76" s="170">
        <f t="shared" si="31"/>
        <v>318867</v>
      </c>
      <c r="I76" s="171">
        <f t="shared" si="29"/>
        <v>0.20717565863944909</v>
      </c>
      <c r="J76" s="181">
        <f t="shared" si="26"/>
        <v>1.9433695792641275</v>
      </c>
      <c r="K76" s="170">
        <f>H76-G76</f>
        <v>54724</v>
      </c>
      <c r="L76" s="170">
        <f t="shared" si="28"/>
        <v>210533</v>
      </c>
      <c r="M76" s="171">
        <f t="shared" si="30"/>
        <v>8.8385738093688486E-3</v>
      </c>
      <c r="N76" s="81"/>
    </row>
    <row r="77" spans="1:14" s="147" customFormat="1" x14ac:dyDescent="0.25">
      <c r="B77" s="156" t="s">
        <v>50</v>
      </c>
      <c r="C77" s="154"/>
      <c r="D77" s="154"/>
      <c r="E77" s="154"/>
      <c r="F77" s="154"/>
      <c r="G77" s="154"/>
      <c r="H77" s="154"/>
      <c r="I77" s="154"/>
      <c r="J77" s="154"/>
      <c r="K77" s="154"/>
      <c r="L77" s="154"/>
      <c r="M77" s="154"/>
    </row>
    <row r="78" spans="1:14" x14ac:dyDescent="0.25">
      <c r="A78" s="1">
        <v>3</v>
      </c>
      <c r="B78" s="157" t="s">
        <v>70</v>
      </c>
      <c r="C78" s="177">
        <v>5492551</v>
      </c>
      <c r="D78" s="177">
        <v>1546641</v>
      </c>
      <c r="E78" s="177">
        <v>1967362</v>
      </c>
      <c r="F78" s="177">
        <v>4352393</v>
      </c>
      <c r="G78" s="177">
        <v>5123327</v>
      </c>
      <c r="H78" s="177">
        <v>5751799</v>
      </c>
      <c r="I78" s="178">
        <f>IFERROR(H78/G78-1,"-")</f>
        <v>0.12266872678632468</v>
      </c>
      <c r="J78" s="178">
        <f>IFERROR(H78/E78-1,"-")</f>
        <v>1.9236098897915075</v>
      </c>
      <c r="K78" s="177">
        <f>H78-G78</f>
        <v>628472</v>
      </c>
      <c r="L78" s="177">
        <f>H78-E78</f>
        <v>3784437</v>
      </c>
      <c r="M78" s="178">
        <f>H78/H$8</f>
        <v>0.15943230249023554</v>
      </c>
      <c r="N78" s="81"/>
    </row>
    <row r="79" spans="1:14" x14ac:dyDescent="0.25">
      <c r="A79" s="1" t="s">
        <v>98</v>
      </c>
      <c r="B79" s="160" t="s">
        <v>99</v>
      </c>
      <c r="C79" s="161">
        <v>1871426</v>
      </c>
      <c r="D79" s="161">
        <v>472177</v>
      </c>
      <c r="E79" s="161">
        <v>765462</v>
      </c>
      <c r="F79" s="161">
        <v>1656388</v>
      </c>
      <c r="G79" s="161">
        <v>1641108</v>
      </c>
      <c r="H79" s="161">
        <v>1680399</v>
      </c>
      <c r="I79" s="162">
        <f>IFERROR(H79/G79-1,"-")</f>
        <v>2.3941751548344214E-2</v>
      </c>
      <c r="J79" s="179">
        <f t="shared" ref="J79:J90" si="32">IFERROR(H79/E79-1,"-")</f>
        <v>1.1952742265455374</v>
      </c>
      <c r="K79" s="161">
        <f t="shared" ref="K79:K89" si="33">H79-G79</f>
        <v>39291</v>
      </c>
      <c r="L79" s="161">
        <f t="shared" ref="L79:L90" si="34">H79-E79</f>
        <v>914937</v>
      </c>
      <c r="M79" s="162">
        <f>H79/H$8</f>
        <v>4.6578449920153558E-2</v>
      </c>
      <c r="N79" s="81"/>
    </row>
    <row r="80" spans="1:14" x14ac:dyDescent="0.25">
      <c r="A80" s="163" t="s">
        <v>105</v>
      </c>
      <c r="B80" s="164" t="s">
        <v>105</v>
      </c>
      <c r="C80" s="165">
        <v>208038</v>
      </c>
      <c r="D80" s="165">
        <v>71537</v>
      </c>
      <c r="E80" s="165">
        <v>181910</v>
      </c>
      <c r="F80" s="165">
        <v>247663</v>
      </c>
      <c r="G80" s="165">
        <v>255714</v>
      </c>
      <c r="H80" s="165">
        <v>287334</v>
      </c>
      <c r="I80" s="166">
        <f>IFERROR(H80/G80-1,"-")</f>
        <v>0.1236537694455524</v>
      </c>
      <c r="J80" s="180">
        <f t="shared" si="32"/>
        <v>0.5795393326370184</v>
      </c>
      <c r="K80" s="165">
        <f t="shared" si="33"/>
        <v>31620</v>
      </c>
      <c r="L80" s="165">
        <f t="shared" si="34"/>
        <v>105424</v>
      </c>
      <c r="M80" s="166">
        <f>H80/H$8</f>
        <v>7.9645205271827724E-3</v>
      </c>
      <c r="N80" s="81"/>
    </row>
    <row r="81" spans="1:14" x14ac:dyDescent="0.25">
      <c r="A81" s="163" t="s">
        <v>102</v>
      </c>
      <c r="B81" s="164" t="s">
        <v>102</v>
      </c>
      <c r="C81" s="165">
        <v>1663388</v>
      </c>
      <c r="D81" s="165">
        <v>400640</v>
      </c>
      <c r="E81" s="165">
        <v>583552</v>
      </c>
      <c r="F81" s="165">
        <v>1408725</v>
      </c>
      <c r="G81" s="165">
        <v>1385394</v>
      </c>
      <c r="H81" s="165">
        <v>1393065</v>
      </c>
      <c r="I81" s="166">
        <f>IFERROR(H81/G81-1,"-")</f>
        <v>5.5370529971978666E-3</v>
      </c>
      <c r="J81" s="180">
        <f t="shared" si="32"/>
        <v>1.3872165633910947</v>
      </c>
      <c r="K81" s="165">
        <f t="shared" si="33"/>
        <v>7671</v>
      </c>
      <c r="L81" s="165">
        <f t="shared" si="34"/>
        <v>809513</v>
      </c>
      <c r="M81" s="166">
        <f>H81/H$8</f>
        <v>3.8613929392970786E-2</v>
      </c>
      <c r="N81" s="81"/>
    </row>
    <row r="82" spans="1:14" x14ac:dyDescent="0.25">
      <c r="A82" s="1"/>
      <c r="B82" s="160" t="s">
        <v>109</v>
      </c>
      <c r="C82" s="161">
        <v>3621125</v>
      </c>
      <c r="D82" s="161">
        <v>1074464</v>
      </c>
      <c r="E82" s="161">
        <v>1201900</v>
      </c>
      <c r="F82" s="161">
        <v>2696005</v>
      </c>
      <c r="G82" s="161">
        <v>3482219</v>
      </c>
      <c r="H82" s="161">
        <v>4071400</v>
      </c>
      <c r="I82" s="162">
        <f>IFERROR(H82/G82-1,"-")</f>
        <v>0.16919699766154861</v>
      </c>
      <c r="J82" s="179">
        <f t="shared" si="32"/>
        <v>2.3874698394209171</v>
      </c>
      <c r="K82" s="161">
        <f t="shared" si="33"/>
        <v>589181</v>
      </c>
      <c r="L82" s="161">
        <f t="shared" si="34"/>
        <v>2869500</v>
      </c>
      <c r="M82" s="162">
        <f>H82/H$8</f>
        <v>0.11285385257008199</v>
      </c>
      <c r="N82" s="81"/>
    </row>
    <row r="83" spans="1:14" s="57" customFormat="1" x14ac:dyDescent="0.25">
      <c r="B83" s="164" t="s">
        <v>112</v>
      </c>
      <c r="C83" s="165">
        <v>574884</v>
      </c>
      <c r="D83" s="165">
        <v>163077</v>
      </c>
      <c r="E83" s="165">
        <v>114301</v>
      </c>
      <c r="F83" s="165">
        <v>504044</v>
      </c>
      <c r="G83" s="165">
        <v>666541</v>
      </c>
      <c r="H83" s="165">
        <v>786563</v>
      </c>
      <c r="I83" s="166">
        <f t="shared" ref="I83:I90" si="35">IFERROR(H83/G83-1,"-")</f>
        <v>0.18006694261868361</v>
      </c>
      <c r="J83" s="180">
        <f t="shared" si="32"/>
        <v>5.8815058485927505</v>
      </c>
      <c r="K83" s="165">
        <f t="shared" si="33"/>
        <v>120022</v>
      </c>
      <c r="L83" s="165">
        <f t="shared" si="34"/>
        <v>672262</v>
      </c>
      <c r="M83" s="166">
        <f t="shared" ref="M83:M90" si="36">H83/H$8</f>
        <v>2.1802491732347939E-2</v>
      </c>
      <c r="N83" s="167"/>
    </row>
    <row r="84" spans="1:14" s="57" customFormat="1" x14ac:dyDescent="0.25">
      <c r="B84" s="164" t="s">
        <v>115</v>
      </c>
      <c r="C84" s="165">
        <v>1562789</v>
      </c>
      <c r="D84" s="165">
        <v>445011</v>
      </c>
      <c r="E84" s="165">
        <v>478237</v>
      </c>
      <c r="F84" s="165">
        <v>1014024</v>
      </c>
      <c r="G84" s="165">
        <v>1210830</v>
      </c>
      <c r="H84" s="165">
        <v>1374516</v>
      </c>
      <c r="I84" s="166">
        <f t="shared" si="35"/>
        <v>0.13518495577413847</v>
      </c>
      <c r="J84" s="180">
        <f t="shared" si="32"/>
        <v>1.8741314452875875</v>
      </c>
      <c r="K84" s="165">
        <f t="shared" si="33"/>
        <v>163686</v>
      </c>
      <c r="L84" s="165">
        <f t="shared" si="34"/>
        <v>896279</v>
      </c>
      <c r="M84" s="166">
        <f t="shared" si="36"/>
        <v>3.8099775511916983E-2</v>
      </c>
      <c r="N84" s="167"/>
    </row>
    <row r="85" spans="1:14" x14ac:dyDescent="0.25">
      <c r="A85" s="1"/>
      <c r="B85" s="164" t="s">
        <v>118</v>
      </c>
      <c r="C85" s="165">
        <v>173660</v>
      </c>
      <c r="D85" s="165">
        <v>48969</v>
      </c>
      <c r="E85" s="165">
        <v>105849</v>
      </c>
      <c r="F85" s="165">
        <v>179405</v>
      </c>
      <c r="G85" s="165">
        <v>275311</v>
      </c>
      <c r="H85" s="165">
        <v>384207</v>
      </c>
      <c r="I85" s="166">
        <f t="shared" si="35"/>
        <v>0.3955381368706663</v>
      </c>
      <c r="J85" s="180">
        <f t="shared" si="32"/>
        <v>2.6297650426551029</v>
      </c>
      <c r="K85" s="165">
        <f t="shared" si="33"/>
        <v>108896</v>
      </c>
      <c r="L85" s="165">
        <f t="shared" si="34"/>
        <v>278358</v>
      </c>
      <c r="M85" s="166">
        <f t="shared" si="36"/>
        <v>1.0649712662571472E-2</v>
      </c>
      <c r="N85" s="81"/>
    </row>
    <row r="86" spans="1:14" x14ac:dyDescent="0.25">
      <c r="A86" s="1"/>
      <c r="B86" s="164" t="s">
        <v>125</v>
      </c>
      <c r="C86" s="165">
        <v>75235</v>
      </c>
      <c r="D86" s="165">
        <v>15102</v>
      </c>
      <c r="E86" s="165">
        <v>38224</v>
      </c>
      <c r="F86" s="165">
        <v>75513</v>
      </c>
      <c r="G86" s="165">
        <v>90350</v>
      </c>
      <c r="H86" s="165">
        <v>134266</v>
      </c>
      <c r="I86" s="166">
        <f t="shared" si="35"/>
        <v>0.48606530160486994</v>
      </c>
      <c r="J86" s="180">
        <f t="shared" si="32"/>
        <v>2.5126098786102973</v>
      </c>
      <c r="K86" s="165">
        <f t="shared" si="33"/>
        <v>43916</v>
      </c>
      <c r="L86" s="165">
        <f t="shared" si="34"/>
        <v>96042</v>
      </c>
      <c r="M86" s="166">
        <f t="shared" si="36"/>
        <v>3.7216769094597993E-3</v>
      </c>
      <c r="N86" s="81"/>
    </row>
    <row r="87" spans="1:14" x14ac:dyDescent="0.25">
      <c r="A87" s="1"/>
      <c r="B87" s="164" t="s">
        <v>121</v>
      </c>
      <c r="C87" s="165">
        <v>46816</v>
      </c>
      <c r="D87" s="165">
        <v>14962</v>
      </c>
      <c r="E87" s="165">
        <v>33300</v>
      </c>
      <c r="F87" s="165">
        <v>33738</v>
      </c>
      <c r="G87" s="165">
        <v>45567</v>
      </c>
      <c r="H87" s="165">
        <v>58820</v>
      </c>
      <c r="I87" s="166">
        <f t="shared" si="35"/>
        <v>0.29084644589286102</v>
      </c>
      <c r="J87" s="180">
        <f t="shared" si="32"/>
        <v>0.76636636636636646</v>
      </c>
      <c r="K87" s="165">
        <f t="shared" si="33"/>
        <v>13253</v>
      </c>
      <c r="L87" s="165">
        <f t="shared" si="34"/>
        <v>25520</v>
      </c>
      <c r="M87" s="166">
        <f t="shared" si="36"/>
        <v>1.6304130294670684E-3</v>
      </c>
      <c r="N87" s="81"/>
    </row>
    <row r="88" spans="1:14" x14ac:dyDescent="0.25">
      <c r="A88" s="1"/>
      <c r="B88" s="164" t="s">
        <v>130</v>
      </c>
      <c r="C88" s="165">
        <v>74813</v>
      </c>
      <c r="D88" s="165">
        <v>30460</v>
      </c>
      <c r="E88" s="165">
        <v>20871</v>
      </c>
      <c r="F88" s="165">
        <v>63463</v>
      </c>
      <c r="G88" s="165">
        <v>74935</v>
      </c>
      <c r="H88" s="165">
        <v>68632</v>
      </c>
      <c r="I88" s="166">
        <f t="shared" si="35"/>
        <v>-8.4112897844798806E-2</v>
      </c>
      <c r="J88" s="180">
        <f t="shared" si="32"/>
        <v>2.2883905898136168</v>
      </c>
      <c r="K88" s="165">
        <f t="shared" si="33"/>
        <v>-6303</v>
      </c>
      <c r="L88" s="165">
        <f t="shared" si="34"/>
        <v>47761</v>
      </c>
      <c r="M88" s="166">
        <f t="shared" si="36"/>
        <v>1.9023887629783039E-3</v>
      </c>
      <c r="N88" s="81"/>
    </row>
    <row r="89" spans="1:14" x14ac:dyDescent="0.25">
      <c r="A89" s="163" t="s">
        <v>146</v>
      </c>
      <c r="B89" s="164" t="s">
        <v>133</v>
      </c>
      <c r="C89" s="165">
        <v>112745</v>
      </c>
      <c r="D89" s="165">
        <v>50030</v>
      </c>
      <c r="E89" s="165">
        <v>22441</v>
      </c>
      <c r="F89" s="165">
        <v>59972</v>
      </c>
      <c r="G89" s="165">
        <v>81697</v>
      </c>
      <c r="H89" s="165">
        <v>79675</v>
      </c>
      <c r="I89" s="166">
        <f t="shared" si="35"/>
        <v>-2.4749990819736389E-2</v>
      </c>
      <c r="J89" s="180">
        <f t="shared" si="32"/>
        <v>2.5504211042288669</v>
      </c>
      <c r="K89" s="165">
        <f t="shared" si="33"/>
        <v>-2022</v>
      </c>
      <c r="L89" s="165">
        <f t="shared" si="34"/>
        <v>57234</v>
      </c>
      <c r="M89" s="166">
        <f t="shared" si="36"/>
        <v>2.2084861972592432E-3</v>
      </c>
      <c r="N89" s="81"/>
    </row>
    <row r="90" spans="1:14" x14ac:dyDescent="0.25">
      <c r="A90" s="168" t="s">
        <v>147</v>
      </c>
      <c r="B90" s="169" t="s">
        <v>147</v>
      </c>
      <c r="C90" s="170">
        <f t="shared" ref="C90:H90" si="37">C82-SUM(C83:C89)</f>
        <v>1000183</v>
      </c>
      <c r="D90" s="170">
        <f t="shared" si="37"/>
        <v>306853</v>
      </c>
      <c r="E90" s="170">
        <f t="shared" si="37"/>
        <v>388677</v>
      </c>
      <c r="F90" s="170">
        <f t="shared" si="37"/>
        <v>765846</v>
      </c>
      <c r="G90" s="170">
        <f t="shared" si="37"/>
        <v>1036988</v>
      </c>
      <c r="H90" s="170">
        <f t="shared" si="37"/>
        <v>1184721</v>
      </c>
      <c r="I90" s="171">
        <f t="shared" si="35"/>
        <v>0.14246355791966736</v>
      </c>
      <c r="J90" s="181">
        <f t="shared" si="32"/>
        <v>2.0480862001096027</v>
      </c>
      <c r="K90" s="170">
        <f>H90-G90</f>
        <v>147733</v>
      </c>
      <c r="L90" s="170">
        <f t="shared" si="34"/>
        <v>796044</v>
      </c>
      <c r="M90" s="171">
        <f t="shared" si="36"/>
        <v>3.2838907764081174E-2</v>
      </c>
      <c r="N90" s="81"/>
    </row>
    <row r="91" spans="1:14" s="147" customFormat="1" x14ac:dyDescent="0.25">
      <c r="B91" s="156" t="s">
        <v>51</v>
      </c>
      <c r="C91" s="154"/>
      <c r="D91" s="154"/>
      <c r="E91" s="154"/>
      <c r="F91" s="154"/>
      <c r="G91" s="154"/>
      <c r="H91" s="154"/>
      <c r="I91" s="154"/>
      <c r="J91" s="154"/>
      <c r="K91" s="154"/>
      <c r="L91" s="154"/>
      <c r="M91" s="154"/>
    </row>
    <row r="92" spans="1:14" x14ac:dyDescent="0.25">
      <c r="A92" s="1">
        <v>3</v>
      </c>
      <c r="B92" s="157" t="s">
        <v>70</v>
      </c>
      <c r="C92" s="177">
        <v>136126</v>
      </c>
      <c r="D92" s="177">
        <v>59047</v>
      </c>
      <c r="E92" s="177">
        <v>83402</v>
      </c>
      <c r="F92" s="177">
        <v>137757</v>
      </c>
      <c r="G92" s="177">
        <v>148334</v>
      </c>
      <c r="H92" s="177">
        <v>152300</v>
      </c>
      <c r="I92" s="178">
        <f>IFERROR(H92/G92-1,"-")</f>
        <v>2.6736958485579887E-2</v>
      </c>
      <c r="J92" s="178">
        <f>IFERROR(H92/E92-1,"-")</f>
        <v>0.82609529747488075</v>
      </c>
      <c r="K92" s="177">
        <f>H92-G92</f>
        <v>3966</v>
      </c>
      <c r="L92" s="177">
        <f>H92-E92</f>
        <v>68898</v>
      </c>
      <c r="M92" s="178">
        <f>H92/H$8</f>
        <v>4.2215556679332626E-3</v>
      </c>
      <c r="N92" s="81"/>
    </row>
    <row r="93" spans="1:14" x14ac:dyDescent="0.25">
      <c r="A93" s="1" t="s">
        <v>98</v>
      </c>
      <c r="B93" s="160" t="s">
        <v>99</v>
      </c>
      <c r="C93" s="161">
        <v>72932</v>
      </c>
      <c r="D93" s="161">
        <v>31800</v>
      </c>
      <c r="E93" s="161">
        <v>42063</v>
      </c>
      <c r="F93" s="161">
        <v>70951</v>
      </c>
      <c r="G93" s="161">
        <v>72432</v>
      </c>
      <c r="H93" s="161">
        <v>71061</v>
      </c>
      <c r="I93" s="162">
        <f>IFERROR(H93/G93-1,"-")</f>
        <v>-1.8928098078197508E-2</v>
      </c>
      <c r="J93" s="179">
        <f t="shared" ref="J93:J104" si="38">IFERROR(H93/E93-1,"-")</f>
        <v>0.68939447970900791</v>
      </c>
      <c r="K93" s="161">
        <f t="shared" ref="K93:K103" si="39">H93-G93</f>
        <v>-1371</v>
      </c>
      <c r="L93" s="161">
        <f t="shared" ref="L93:L104" si="40">H93-E93</f>
        <v>28998</v>
      </c>
      <c r="M93" s="162">
        <f>H93/H$8</f>
        <v>1.9697174479251845E-3</v>
      </c>
      <c r="N93" s="81"/>
    </row>
    <row r="94" spans="1:14" x14ac:dyDescent="0.25">
      <c r="A94" s="163" t="s">
        <v>105</v>
      </c>
      <c r="B94" s="164" t="s">
        <v>105</v>
      </c>
      <c r="C94" s="165">
        <v>33003</v>
      </c>
      <c r="D94" s="165">
        <v>15549</v>
      </c>
      <c r="E94" s="165">
        <v>20037</v>
      </c>
      <c r="F94" s="165">
        <v>30228</v>
      </c>
      <c r="G94" s="165">
        <v>19606</v>
      </c>
      <c r="H94" s="165">
        <v>21646</v>
      </c>
      <c r="I94" s="166">
        <f>IFERROR(H94/G94-1,"-")</f>
        <v>0.10404978067938386</v>
      </c>
      <c r="J94" s="180">
        <f t="shared" si="38"/>
        <v>8.0301442331686346E-2</v>
      </c>
      <c r="K94" s="165">
        <f t="shared" si="39"/>
        <v>2040</v>
      </c>
      <c r="L94" s="165">
        <f t="shared" si="40"/>
        <v>1609</v>
      </c>
      <c r="M94" s="166">
        <f>H94/H$8</f>
        <v>5.9999864732819042E-4</v>
      </c>
      <c r="N94" s="81"/>
    </row>
    <row r="95" spans="1:14" x14ac:dyDescent="0.25">
      <c r="A95" s="163" t="s">
        <v>102</v>
      </c>
      <c r="B95" s="164" t="s">
        <v>102</v>
      </c>
      <c r="C95" s="165">
        <v>39929</v>
      </c>
      <c r="D95" s="165">
        <v>16251</v>
      </c>
      <c r="E95" s="165">
        <v>22026</v>
      </c>
      <c r="F95" s="165">
        <v>40723</v>
      </c>
      <c r="G95" s="165">
        <v>52826</v>
      </c>
      <c r="H95" s="165">
        <v>49415</v>
      </c>
      <c r="I95" s="166">
        <f>IFERROR(H95/G95-1,"-")</f>
        <v>-6.4570476659220888E-2</v>
      </c>
      <c r="J95" s="180">
        <f t="shared" si="38"/>
        <v>1.2434849723054571</v>
      </c>
      <c r="K95" s="165">
        <f t="shared" si="39"/>
        <v>-3411</v>
      </c>
      <c r="L95" s="165">
        <f t="shared" si="40"/>
        <v>27389</v>
      </c>
      <c r="M95" s="166">
        <f>H95/H$8</f>
        <v>1.3697188005969939E-3</v>
      </c>
      <c r="N95" s="81"/>
    </row>
    <row r="96" spans="1:14" x14ac:dyDescent="0.25">
      <c r="A96" s="1"/>
      <c r="B96" s="160" t="s">
        <v>109</v>
      </c>
      <c r="C96" s="161">
        <v>63194</v>
      </c>
      <c r="D96" s="161">
        <v>27247</v>
      </c>
      <c r="E96" s="161">
        <v>41339</v>
      </c>
      <c r="F96" s="161">
        <v>66806</v>
      </c>
      <c r="G96" s="161">
        <v>75902</v>
      </c>
      <c r="H96" s="161">
        <v>81239</v>
      </c>
      <c r="I96" s="162">
        <f>IFERROR(H96/G96-1,"-")</f>
        <v>7.0314352717978368E-2</v>
      </c>
      <c r="J96" s="179">
        <f t="shared" si="38"/>
        <v>0.96519025617455667</v>
      </c>
      <c r="K96" s="161">
        <f t="shared" si="39"/>
        <v>5337</v>
      </c>
      <c r="L96" s="161">
        <f t="shared" si="40"/>
        <v>39900</v>
      </c>
      <c r="M96" s="162">
        <f>H96/H$8</f>
        <v>2.2518382200080785E-3</v>
      </c>
      <c r="N96" s="81"/>
    </row>
    <row r="97" spans="1:14" s="57" customFormat="1" x14ac:dyDescent="0.25">
      <c r="B97" s="164" t="s">
        <v>112</v>
      </c>
      <c r="C97" s="165">
        <v>8082</v>
      </c>
      <c r="D97" s="165">
        <v>5019</v>
      </c>
      <c r="E97" s="165">
        <v>3494</v>
      </c>
      <c r="F97" s="165">
        <v>9249</v>
      </c>
      <c r="G97" s="165">
        <v>11177</v>
      </c>
      <c r="H97" s="165">
        <v>12296</v>
      </c>
      <c r="I97" s="166">
        <f t="shared" ref="I97:I104" si="41">IFERROR(H97/G97-1,"-")</f>
        <v>0.10011631028003931</v>
      </c>
      <c r="J97" s="180">
        <f t="shared" si="38"/>
        <v>2.5191757298225528</v>
      </c>
      <c r="K97" s="165">
        <f t="shared" si="39"/>
        <v>1119</v>
      </c>
      <c r="L97" s="165">
        <f t="shared" si="40"/>
        <v>8802</v>
      </c>
      <c r="M97" s="166">
        <f t="shared" ref="M97:M104" si="42">H97/H$8</f>
        <v>3.4082894611232699E-4</v>
      </c>
      <c r="N97" s="167"/>
    </row>
    <row r="98" spans="1:14" s="57" customFormat="1" x14ac:dyDescent="0.25">
      <c r="B98" s="164" t="s">
        <v>115</v>
      </c>
      <c r="C98" s="165">
        <v>21366</v>
      </c>
      <c r="D98" s="165">
        <v>7473</v>
      </c>
      <c r="E98" s="165">
        <v>15393</v>
      </c>
      <c r="F98" s="165">
        <v>21050</v>
      </c>
      <c r="G98" s="165">
        <v>22639</v>
      </c>
      <c r="H98" s="165">
        <v>25055</v>
      </c>
      <c r="I98" s="166">
        <f t="shared" si="41"/>
        <v>0.10671849463315519</v>
      </c>
      <c r="J98" s="180">
        <f t="shared" si="38"/>
        <v>0.6276879100890016</v>
      </c>
      <c r="K98" s="165">
        <f t="shared" si="39"/>
        <v>2416</v>
      </c>
      <c r="L98" s="165">
        <f t="shared" si="40"/>
        <v>9662</v>
      </c>
      <c r="M98" s="166">
        <f t="shared" si="42"/>
        <v>6.9449164320464806E-4</v>
      </c>
      <c r="N98" s="167"/>
    </row>
    <row r="99" spans="1:14" x14ac:dyDescent="0.25">
      <c r="A99" s="1"/>
      <c r="B99" s="164" t="s">
        <v>118</v>
      </c>
      <c r="C99" s="165">
        <v>8657</v>
      </c>
      <c r="D99" s="165">
        <v>4658</v>
      </c>
      <c r="E99" s="165">
        <v>7148</v>
      </c>
      <c r="F99" s="165">
        <v>7881</v>
      </c>
      <c r="G99" s="165">
        <v>8902</v>
      </c>
      <c r="H99" s="165">
        <v>9750</v>
      </c>
      <c r="I99" s="166">
        <f t="shared" si="41"/>
        <v>9.5259492248932931E-2</v>
      </c>
      <c r="J99" s="180">
        <f t="shared" si="38"/>
        <v>0.36401790710688298</v>
      </c>
      <c r="K99" s="165">
        <f t="shared" si="39"/>
        <v>848</v>
      </c>
      <c r="L99" s="165">
        <f t="shared" si="40"/>
        <v>2602</v>
      </c>
      <c r="M99" s="166">
        <f t="shared" si="42"/>
        <v>2.7025717506467048E-4</v>
      </c>
      <c r="N99" s="81"/>
    </row>
    <row r="100" spans="1:14" x14ac:dyDescent="0.25">
      <c r="A100" s="1"/>
      <c r="B100" s="164" t="s">
        <v>125</v>
      </c>
      <c r="C100" s="165">
        <v>2390</v>
      </c>
      <c r="D100" s="165">
        <v>940</v>
      </c>
      <c r="E100" s="165">
        <v>1385</v>
      </c>
      <c r="F100" s="165">
        <v>4981</v>
      </c>
      <c r="G100" s="165">
        <v>3623</v>
      </c>
      <c r="H100" s="165">
        <v>3800</v>
      </c>
      <c r="I100" s="166">
        <f t="shared" si="41"/>
        <v>4.8854540436102711E-2</v>
      </c>
      <c r="J100" s="180">
        <f t="shared" si="38"/>
        <v>1.743682310469314</v>
      </c>
      <c r="K100" s="165">
        <f t="shared" si="39"/>
        <v>177</v>
      </c>
      <c r="L100" s="165">
        <f t="shared" si="40"/>
        <v>2415</v>
      </c>
      <c r="M100" s="166">
        <f t="shared" si="42"/>
        <v>1.0533100156366643E-4</v>
      </c>
      <c r="N100" s="81"/>
    </row>
    <row r="101" spans="1:14" x14ac:dyDescent="0.25">
      <c r="A101" s="1"/>
      <c r="B101" s="164" t="s">
        <v>121</v>
      </c>
      <c r="C101" s="165">
        <v>1298</v>
      </c>
      <c r="D101" s="165">
        <v>788</v>
      </c>
      <c r="E101" s="165">
        <v>1315</v>
      </c>
      <c r="F101" s="165">
        <v>1892</v>
      </c>
      <c r="G101" s="165">
        <v>1812</v>
      </c>
      <c r="H101" s="165">
        <v>2358</v>
      </c>
      <c r="I101" s="166">
        <f t="shared" si="41"/>
        <v>0.30132450331125837</v>
      </c>
      <c r="J101" s="180">
        <f t="shared" si="38"/>
        <v>0.79315589353612159</v>
      </c>
      <c r="K101" s="165">
        <f t="shared" si="39"/>
        <v>546</v>
      </c>
      <c r="L101" s="165">
        <f t="shared" si="40"/>
        <v>1043</v>
      </c>
      <c r="M101" s="166">
        <f t="shared" si="42"/>
        <v>6.5360658338717225E-5</v>
      </c>
      <c r="N101" s="81"/>
    </row>
    <row r="102" spans="1:14" x14ac:dyDescent="0.25">
      <c r="A102" s="1"/>
      <c r="B102" s="164" t="s">
        <v>130</v>
      </c>
      <c r="C102" s="165">
        <v>444</v>
      </c>
      <c r="D102" s="165">
        <v>599</v>
      </c>
      <c r="E102" s="165">
        <v>275</v>
      </c>
      <c r="F102" s="165">
        <v>817</v>
      </c>
      <c r="G102" s="165">
        <v>420</v>
      </c>
      <c r="H102" s="165">
        <v>782</v>
      </c>
      <c r="I102" s="166">
        <f t="shared" si="41"/>
        <v>0.86190476190476195</v>
      </c>
      <c r="J102" s="180">
        <f t="shared" si="38"/>
        <v>1.8436363636363637</v>
      </c>
      <c r="K102" s="165">
        <f t="shared" si="39"/>
        <v>362</v>
      </c>
      <c r="L102" s="165">
        <f t="shared" si="40"/>
        <v>507</v>
      </c>
      <c r="M102" s="166">
        <f t="shared" si="42"/>
        <v>2.1676011374417671E-5</v>
      </c>
      <c r="N102" s="81"/>
    </row>
    <row r="103" spans="1:14" x14ac:dyDescent="0.25">
      <c r="A103" s="163" t="s">
        <v>146</v>
      </c>
      <c r="B103" s="164" t="s">
        <v>133</v>
      </c>
      <c r="C103" s="165">
        <v>699</v>
      </c>
      <c r="D103" s="165">
        <v>259</v>
      </c>
      <c r="E103" s="165">
        <v>259</v>
      </c>
      <c r="F103" s="165">
        <v>385</v>
      </c>
      <c r="G103" s="165">
        <v>950</v>
      </c>
      <c r="H103" s="165">
        <v>1244</v>
      </c>
      <c r="I103" s="166">
        <f t="shared" si="41"/>
        <v>0.30947368421052635</v>
      </c>
      <c r="J103" s="180">
        <f t="shared" si="38"/>
        <v>3.8030888030888033</v>
      </c>
      <c r="K103" s="165">
        <f t="shared" si="39"/>
        <v>294</v>
      </c>
      <c r="L103" s="165">
        <f t="shared" si="40"/>
        <v>985</v>
      </c>
      <c r="M103" s="166">
        <f t="shared" si="42"/>
        <v>3.4482043669789748E-5</v>
      </c>
      <c r="N103" s="81"/>
    </row>
    <row r="104" spans="1:14" x14ac:dyDescent="0.25">
      <c r="A104" s="168" t="s">
        <v>147</v>
      </c>
      <c r="B104" s="169" t="s">
        <v>147</v>
      </c>
      <c r="C104" s="170">
        <f t="shared" ref="C104:H104" si="43">C96-SUM(C97:C103)</f>
        <v>20258</v>
      </c>
      <c r="D104" s="170">
        <f t="shared" si="43"/>
        <v>7511</v>
      </c>
      <c r="E104" s="170">
        <f t="shared" si="43"/>
        <v>12070</v>
      </c>
      <c r="F104" s="170">
        <f t="shared" si="43"/>
        <v>20551</v>
      </c>
      <c r="G104" s="170">
        <f t="shared" si="43"/>
        <v>26379</v>
      </c>
      <c r="H104" s="170">
        <f t="shared" si="43"/>
        <v>25954</v>
      </c>
      <c r="I104" s="171">
        <f t="shared" si="41"/>
        <v>-1.6111300655824667E-2</v>
      </c>
      <c r="J104" s="181">
        <f t="shared" si="38"/>
        <v>1.1502899751449878</v>
      </c>
      <c r="K104" s="170">
        <f>H104-G104</f>
        <v>-425</v>
      </c>
      <c r="L104" s="170">
        <f t="shared" si="40"/>
        <v>13884</v>
      </c>
      <c r="M104" s="171">
        <f t="shared" si="42"/>
        <v>7.1941074067984176E-4</v>
      </c>
      <c r="N104" s="81"/>
    </row>
    <row r="105" spans="1:14" s="147" customFormat="1" x14ac:dyDescent="0.25">
      <c r="B105" s="156" t="s">
        <v>52</v>
      </c>
      <c r="C105" s="154"/>
      <c r="D105" s="154"/>
      <c r="E105" s="154"/>
      <c r="F105" s="154"/>
      <c r="G105" s="154"/>
      <c r="H105" s="154"/>
      <c r="I105" s="154"/>
      <c r="J105" s="154"/>
      <c r="K105" s="154"/>
      <c r="L105" s="154"/>
      <c r="M105" s="154"/>
    </row>
    <row r="106" spans="1:14" x14ac:dyDescent="0.25">
      <c r="A106" s="1">
        <v>3</v>
      </c>
      <c r="B106" s="157" t="s">
        <v>70</v>
      </c>
      <c r="C106" s="177">
        <v>1055815</v>
      </c>
      <c r="D106" s="177">
        <v>442013</v>
      </c>
      <c r="E106" s="177">
        <v>749212</v>
      </c>
      <c r="F106" s="177">
        <v>1316064</v>
      </c>
      <c r="G106" s="177">
        <v>1447168</v>
      </c>
      <c r="H106" s="177">
        <v>1453294</v>
      </c>
      <c r="I106" s="178">
        <f>IFERROR(H106/G106-1,"-")</f>
        <v>4.2330952591544957E-3</v>
      </c>
      <c r="J106" s="178">
        <f>IFERROR(H106/E106-1,"-")</f>
        <v>0.9397633780558774</v>
      </c>
      <c r="K106" s="177">
        <f>H106-G106</f>
        <v>6126</v>
      </c>
      <c r="L106" s="177">
        <f>H106-E106</f>
        <v>704082</v>
      </c>
      <c r="M106" s="178">
        <f>H106/H$8</f>
        <v>4.0283398049070274E-2</v>
      </c>
      <c r="N106" s="81"/>
    </row>
    <row r="107" spans="1:14" x14ac:dyDescent="0.25">
      <c r="A107" s="1" t="s">
        <v>98</v>
      </c>
      <c r="B107" s="160" t="s">
        <v>99</v>
      </c>
      <c r="C107" s="161">
        <v>162637</v>
      </c>
      <c r="D107" s="161">
        <v>125264</v>
      </c>
      <c r="E107" s="161">
        <v>199003</v>
      </c>
      <c r="F107" s="161">
        <v>220579</v>
      </c>
      <c r="G107" s="161">
        <v>219096</v>
      </c>
      <c r="H107" s="161">
        <v>207819</v>
      </c>
      <c r="I107" s="162">
        <f>IFERROR(H107/G107-1,"-")</f>
        <v>-5.1470588235294157E-2</v>
      </c>
      <c r="J107" s="179">
        <f t="shared" ref="J107:J118" si="44">IFERROR(H107/E107-1,"-")</f>
        <v>4.4300839685833981E-2</v>
      </c>
      <c r="K107" s="161">
        <f t="shared" ref="K107:K117" si="45">H107-G107</f>
        <v>-11277</v>
      </c>
      <c r="L107" s="161">
        <f t="shared" ref="L107:L118" si="46">H107-E107</f>
        <v>8816</v>
      </c>
      <c r="M107" s="162">
        <f>H107/H$8</f>
        <v>5.7604693194630513E-3</v>
      </c>
      <c r="N107" s="81"/>
    </row>
    <row r="108" spans="1:14" x14ac:dyDescent="0.25">
      <c r="A108" s="163" t="s">
        <v>105</v>
      </c>
      <c r="B108" s="164" t="s">
        <v>105</v>
      </c>
      <c r="C108" s="165">
        <v>42419</v>
      </c>
      <c r="D108" s="165">
        <v>16702</v>
      </c>
      <c r="E108" s="165">
        <v>106031</v>
      </c>
      <c r="F108" s="165">
        <v>75504</v>
      </c>
      <c r="G108" s="165">
        <v>57419</v>
      </c>
      <c r="H108" s="165">
        <v>59079</v>
      </c>
      <c r="I108" s="166">
        <f>IFERROR(H108/G108-1,"-")</f>
        <v>2.8910291018652279E-2</v>
      </c>
      <c r="J108" s="180">
        <f t="shared" si="44"/>
        <v>-0.44281389404985338</v>
      </c>
      <c r="K108" s="165">
        <f t="shared" si="45"/>
        <v>1660</v>
      </c>
      <c r="L108" s="165">
        <f t="shared" si="46"/>
        <v>-46952</v>
      </c>
      <c r="M108" s="166">
        <f>H108/H$8</f>
        <v>1.6375921687841709E-3</v>
      </c>
      <c r="N108" s="81"/>
    </row>
    <row r="109" spans="1:14" x14ac:dyDescent="0.25">
      <c r="A109" s="163" t="s">
        <v>102</v>
      </c>
      <c r="B109" s="164" t="s">
        <v>102</v>
      </c>
      <c r="C109" s="165">
        <v>120218</v>
      </c>
      <c r="D109" s="165">
        <v>108562</v>
      </c>
      <c r="E109" s="165">
        <v>92972</v>
      </c>
      <c r="F109" s="165">
        <v>145075</v>
      </c>
      <c r="G109" s="165">
        <v>161677</v>
      </c>
      <c r="H109" s="165">
        <v>148740</v>
      </c>
      <c r="I109" s="166">
        <f>IFERROR(H109/G109-1,"-")</f>
        <v>-8.0017565887541164E-2</v>
      </c>
      <c r="J109" s="180">
        <f t="shared" si="44"/>
        <v>0.59983650991696424</v>
      </c>
      <c r="K109" s="165">
        <f t="shared" si="45"/>
        <v>-12937</v>
      </c>
      <c r="L109" s="165">
        <f t="shared" si="46"/>
        <v>55768</v>
      </c>
      <c r="M109" s="166">
        <f>H109/H$8</f>
        <v>4.1228771506788804E-3</v>
      </c>
      <c r="N109" s="81"/>
    </row>
    <row r="110" spans="1:14" x14ac:dyDescent="0.25">
      <c r="A110" s="1"/>
      <c r="B110" s="160" t="s">
        <v>109</v>
      </c>
      <c r="C110" s="161">
        <v>893178</v>
      </c>
      <c r="D110" s="161">
        <v>316749</v>
      </c>
      <c r="E110" s="161">
        <v>550209</v>
      </c>
      <c r="F110" s="161">
        <v>1095485</v>
      </c>
      <c r="G110" s="161">
        <v>1228072</v>
      </c>
      <c r="H110" s="161">
        <v>1245475</v>
      </c>
      <c r="I110" s="162">
        <f>IFERROR(H110/G110-1,"-")</f>
        <v>1.4170993231667151E-2</v>
      </c>
      <c r="J110" s="179">
        <f t="shared" si="44"/>
        <v>1.2636398168695897</v>
      </c>
      <c r="K110" s="161">
        <f t="shared" si="45"/>
        <v>17403</v>
      </c>
      <c r="L110" s="161">
        <f t="shared" si="46"/>
        <v>695266</v>
      </c>
      <c r="M110" s="162">
        <f>H110/H$8</f>
        <v>3.4522928729607223E-2</v>
      </c>
      <c r="N110" s="81"/>
    </row>
    <row r="111" spans="1:14" s="57" customFormat="1" x14ac:dyDescent="0.25">
      <c r="B111" s="164" t="s">
        <v>112</v>
      </c>
      <c r="C111" s="165">
        <v>476582</v>
      </c>
      <c r="D111" s="165">
        <v>181253</v>
      </c>
      <c r="E111" s="165">
        <v>251557</v>
      </c>
      <c r="F111" s="165">
        <v>673877</v>
      </c>
      <c r="G111" s="165">
        <v>775590</v>
      </c>
      <c r="H111" s="165">
        <v>761721</v>
      </c>
      <c r="I111" s="166">
        <f t="shared" ref="I111:I118" si="47">IFERROR(H111/G111-1,"-")</f>
        <v>-1.7881870575948589E-2</v>
      </c>
      <c r="J111" s="180">
        <f t="shared" si="44"/>
        <v>2.0280254574509953</v>
      </c>
      <c r="K111" s="165">
        <f t="shared" si="45"/>
        <v>-13869</v>
      </c>
      <c r="L111" s="165">
        <f t="shared" si="46"/>
        <v>510164</v>
      </c>
      <c r="M111" s="166">
        <f t="shared" ref="M111:M118" si="48">H111/H$8</f>
        <v>2.111390416896778E-2</v>
      </c>
      <c r="N111" s="167"/>
    </row>
    <row r="112" spans="1:14" s="57" customFormat="1" x14ac:dyDescent="0.25">
      <c r="B112" s="164" t="s">
        <v>115</v>
      </c>
      <c r="C112" s="165">
        <v>91753</v>
      </c>
      <c r="D112" s="165">
        <v>22554</v>
      </c>
      <c r="E112" s="165">
        <v>57079</v>
      </c>
      <c r="F112" s="165">
        <v>45927</v>
      </c>
      <c r="G112" s="165">
        <v>60304</v>
      </c>
      <c r="H112" s="165">
        <v>60756</v>
      </c>
      <c r="I112" s="166">
        <f t="shared" si="47"/>
        <v>7.4953568585831576E-3</v>
      </c>
      <c r="J112" s="180">
        <f t="shared" si="44"/>
        <v>6.4419488778710177E-2</v>
      </c>
      <c r="K112" s="165">
        <f t="shared" si="45"/>
        <v>452</v>
      </c>
      <c r="L112" s="165">
        <f t="shared" si="46"/>
        <v>3677</v>
      </c>
      <c r="M112" s="166">
        <f t="shared" si="48"/>
        <v>1.6840764028952942E-3</v>
      </c>
      <c r="N112" s="167"/>
    </row>
    <row r="113" spans="1:14" x14ac:dyDescent="0.25">
      <c r="A113" s="1"/>
      <c r="B113" s="164" t="s">
        <v>118</v>
      </c>
      <c r="C113" s="165">
        <v>92528</v>
      </c>
      <c r="D113" s="165">
        <v>13883</v>
      </c>
      <c r="E113" s="165">
        <v>67210</v>
      </c>
      <c r="F113" s="165">
        <v>65652</v>
      </c>
      <c r="G113" s="165">
        <v>76293</v>
      </c>
      <c r="H113" s="165">
        <v>85229</v>
      </c>
      <c r="I113" s="166">
        <f t="shared" si="47"/>
        <v>0.1171273904552188</v>
      </c>
      <c r="J113" s="180">
        <f t="shared" si="44"/>
        <v>0.26809998512126176</v>
      </c>
      <c r="K113" s="165">
        <f t="shared" si="45"/>
        <v>8936</v>
      </c>
      <c r="L113" s="165">
        <f t="shared" si="46"/>
        <v>18019</v>
      </c>
      <c r="M113" s="166">
        <f t="shared" si="48"/>
        <v>2.362435771649928E-3</v>
      </c>
      <c r="N113" s="81"/>
    </row>
    <row r="114" spans="1:14" x14ac:dyDescent="0.25">
      <c r="A114" s="1"/>
      <c r="B114" s="164" t="s">
        <v>125</v>
      </c>
      <c r="C114" s="165">
        <v>18644</v>
      </c>
      <c r="D114" s="165">
        <v>9005</v>
      </c>
      <c r="E114" s="165">
        <v>29461</v>
      </c>
      <c r="F114" s="165">
        <v>41263</v>
      </c>
      <c r="G114" s="165">
        <v>42135</v>
      </c>
      <c r="H114" s="165">
        <v>41377</v>
      </c>
      <c r="I114" s="166">
        <f t="shared" si="47"/>
        <v>-1.7989794707487849E-2</v>
      </c>
      <c r="J114" s="180">
        <f t="shared" si="44"/>
        <v>0.40446692237194926</v>
      </c>
      <c r="K114" s="165">
        <f t="shared" si="45"/>
        <v>-758</v>
      </c>
      <c r="L114" s="165">
        <f t="shared" si="46"/>
        <v>11916</v>
      </c>
      <c r="M114" s="166">
        <f t="shared" si="48"/>
        <v>1.1469160136052174E-3</v>
      </c>
      <c r="N114" s="81"/>
    </row>
    <row r="115" spans="1:14" x14ac:dyDescent="0.25">
      <c r="A115" s="1"/>
      <c r="B115" s="164" t="s">
        <v>121</v>
      </c>
      <c r="C115" s="165">
        <v>29965</v>
      </c>
      <c r="D115" s="165">
        <v>19818</v>
      </c>
      <c r="E115" s="165">
        <v>36897</v>
      </c>
      <c r="F115" s="165">
        <v>41249</v>
      </c>
      <c r="G115" s="165">
        <v>42266</v>
      </c>
      <c r="H115" s="165">
        <v>33197</v>
      </c>
      <c r="I115" s="166">
        <f t="shared" si="47"/>
        <v>-0.21456963043581134</v>
      </c>
      <c r="J115" s="180">
        <f t="shared" si="44"/>
        <v>-0.10027915548689592</v>
      </c>
      <c r="K115" s="165">
        <f t="shared" si="45"/>
        <v>-9069</v>
      </c>
      <c r="L115" s="165">
        <f t="shared" si="46"/>
        <v>-3700</v>
      </c>
      <c r="M115" s="166">
        <f t="shared" si="48"/>
        <v>9.2017717339711437E-4</v>
      </c>
      <c r="N115" s="81"/>
    </row>
    <row r="116" spans="1:14" x14ac:dyDescent="0.25">
      <c r="A116" s="1"/>
      <c r="B116" s="164" t="s">
        <v>130</v>
      </c>
      <c r="C116" s="165">
        <v>5890</v>
      </c>
      <c r="D116" s="165">
        <v>2343</v>
      </c>
      <c r="E116" s="165">
        <v>2314</v>
      </c>
      <c r="F116" s="165">
        <v>11983</v>
      </c>
      <c r="G116" s="165">
        <v>11780</v>
      </c>
      <c r="H116" s="165">
        <v>11633</v>
      </c>
      <c r="I116" s="166">
        <f t="shared" si="47"/>
        <v>-1.2478777589134071E-2</v>
      </c>
      <c r="J116" s="180">
        <f t="shared" si="44"/>
        <v>4.0272255834053583</v>
      </c>
      <c r="K116" s="165">
        <f t="shared" si="45"/>
        <v>-147</v>
      </c>
      <c r="L116" s="165">
        <f t="shared" si="46"/>
        <v>9319</v>
      </c>
      <c r="M116" s="166">
        <f t="shared" si="48"/>
        <v>3.2245145820792941E-4</v>
      </c>
      <c r="N116" s="81"/>
    </row>
    <row r="117" spans="1:14" x14ac:dyDescent="0.25">
      <c r="A117" s="163" t="s">
        <v>146</v>
      </c>
      <c r="B117" s="164" t="s">
        <v>133</v>
      </c>
      <c r="C117" s="165">
        <v>13480</v>
      </c>
      <c r="D117" s="165">
        <v>7286</v>
      </c>
      <c r="E117" s="165">
        <v>3610</v>
      </c>
      <c r="F117" s="165">
        <v>7507</v>
      </c>
      <c r="G117" s="165">
        <v>7656</v>
      </c>
      <c r="H117" s="165">
        <v>10984</v>
      </c>
      <c r="I117" s="166">
        <f t="shared" si="47"/>
        <v>0.4346917450365726</v>
      </c>
      <c r="J117" s="180">
        <f t="shared" si="44"/>
        <v>2.0426592797783933</v>
      </c>
      <c r="K117" s="165">
        <f t="shared" si="45"/>
        <v>3328</v>
      </c>
      <c r="L117" s="165">
        <f t="shared" si="46"/>
        <v>7374</v>
      </c>
      <c r="M117" s="166">
        <f t="shared" si="48"/>
        <v>3.0446203188824001E-4</v>
      </c>
      <c r="N117" s="81"/>
    </row>
    <row r="118" spans="1:14" x14ac:dyDescent="0.25">
      <c r="A118" s="168" t="s">
        <v>147</v>
      </c>
      <c r="B118" s="169" t="s">
        <v>147</v>
      </c>
      <c r="C118" s="170">
        <f t="shared" ref="C118:H118" si="49">C110-SUM(C111:C117)</f>
        <v>164336</v>
      </c>
      <c r="D118" s="170">
        <f t="shared" si="49"/>
        <v>60607</v>
      </c>
      <c r="E118" s="170">
        <f t="shared" si="49"/>
        <v>102081</v>
      </c>
      <c r="F118" s="170">
        <f t="shared" si="49"/>
        <v>208027</v>
      </c>
      <c r="G118" s="170">
        <f t="shared" si="49"/>
        <v>212048</v>
      </c>
      <c r="H118" s="170">
        <f t="shared" si="49"/>
        <v>240578</v>
      </c>
      <c r="I118" s="171">
        <f t="shared" si="47"/>
        <v>0.13454500867728059</v>
      </c>
      <c r="J118" s="181">
        <f t="shared" si="44"/>
        <v>1.3567363172382714</v>
      </c>
      <c r="K118" s="170">
        <f>H118-G118</f>
        <v>28530</v>
      </c>
      <c r="L118" s="170">
        <f t="shared" si="46"/>
        <v>138497</v>
      </c>
      <c r="M118" s="171">
        <f t="shared" si="48"/>
        <v>6.6685057089957223E-3</v>
      </c>
      <c r="N118" s="81"/>
    </row>
    <row r="119" spans="1:14" s="147" customFormat="1" x14ac:dyDescent="0.25">
      <c r="B119" s="156" t="s">
        <v>53</v>
      </c>
      <c r="C119" s="154"/>
      <c r="D119" s="154"/>
      <c r="E119" s="154"/>
      <c r="F119" s="154"/>
      <c r="G119" s="154"/>
      <c r="H119" s="154"/>
      <c r="I119" s="154"/>
      <c r="J119" s="154"/>
      <c r="K119" s="154"/>
      <c r="L119" s="154"/>
      <c r="M119" s="154"/>
    </row>
    <row r="120" spans="1:14" x14ac:dyDescent="0.25">
      <c r="A120" s="1">
        <v>3</v>
      </c>
      <c r="B120" s="157" t="s">
        <v>70</v>
      </c>
      <c r="C120" s="177">
        <v>503437</v>
      </c>
      <c r="D120" s="177">
        <v>216673</v>
      </c>
      <c r="E120" s="177">
        <v>359169</v>
      </c>
      <c r="F120" s="177">
        <v>543499</v>
      </c>
      <c r="G120" s="177">
        <v>576462</v>
      </c>
      <c r="H120" s="177">
        <v>584273</v>
      </c>
      <c r="I120" s="178">
        <f>IFERROR(H120/G120-1,"-")</f>
        <v>1.3549895743344642E-2</v>
      </c>
      <c r="J120" s="178">
        <f>IFERROR(H120/E120-1,"-")</f>
        <v>0.6267356035738052</v>
      </c>
      <c r="K120" s="177">
        <f>H120-G120</f>
        <v>7811</v>
      </c>
      <c r="L120" s="177">
        <f>H120-E120</f>
        <v>225104</v>
      </c>
      <c r="M120" s="178">
        <f>H120/H$8</f>
        <v>1.6195279020160019E-2</v>
      </c>
      <c r="N120" s="81"/>
    </row>
    <row r="121" spans="1:14" x14ac:dyDescent="0.25">
      <c r="A121" s="1" t="s">
        <v>98</v>
      </c>
      <c r="B121" s="160" t="s">
        <v>99</v>
      </c>
      <c r="C121" s="161">
        <v>235408</v>
      </c>
      <c r="D121" s="161">
        <v>116562</v>
      </c>
      <c r="E121" s="161">
        <v>206631</v>
      </c>
      <c r="F121" s="161">
        <v>271944</v>
      </c>
      <c r="G121" s="161">
        <v>302350</v>
      </c>
      <c r="H121" s="161">
        <v>308399</v>
      </c>
      <c r="I121" s="162">
        <f>IFERROR(H121/G121-1,"-")</f>
        <v>2.0006614850339055E-2</v>
      </c>
      <c r="J121" s="179">
        <f t="shared" ref="J121:J132" si="50">IFERROR(H121/E121-1,"-")</f>
        <v>0.49251080428396521</v>
      </c>
      <c r="K121" s="161">
        <f t="shared" ref="K121:K131" si="51">H121-G121</f>
        <v>6049</v>
      </c>
      <c r="L121" s="161">
        <f t="shared" ref="L121:L132" si="52">H121-E121</f>
        <v>101768</v>
      </c>
      <c r="M121" s="162">
        <f>H121/H$8</f>
        <v>8.5484146187455694E-3</v>
      </c>
      <c r="N121" s="81"/>
    </row>
    <row r="122" spans="1:14" x14ac:dyDescent="0.25">
      <c r="A122" s="163" t="s">
        <v>105</v>
      </c>
      <c r="B122" s="164" t="s">
        <v>105</v>
      </c>
      <c r="C122" s="165">
        <v>110711</v>
      </c>
      <c r="D122" s="165">
        <v>45374</v>
      </c>
      <c r="E122" s="165">
        <v>96469</v>
      </c>
      <c r="F122" s="165">
        <v>128559</v>
      </c>
      <c r="G122" s="165">
        <v>120954</v>
      </c>
      <c r="H122" s="165">
        <v>133909</v>
      </c>
      <c r="I122" s="166">
        <f>IFERROR(H122/G122-1,"-")</f>
        <v>0.10710683400300947</v>
      </c>
      <c r="J122" s="180">
        <f t="shared" si="50"/>
        <v>0.38810395049186774</v>
      </c>
      <c r="K122" s="165">
        <f t="shared" si="51"/>
        <v>12955</v>
      </c>
      <c r="L122" s="165">
        <f t="shared" si="52"/>
        <v>37440</v>
      </c>
      <c r="M122" s="166">
        <f>H122/H$8</f>
        <v>3.7117813390497392E-3</v>
      </c>
      <c r="N122" s="81"/>
    </row>
    <row r="123" spans="1:14" x14ac:dyDescent="0.25">
      <c r="A123" s="163" t="s">
        <v>102</v>
      </c>
      <c r="B123" s="164" t="s">
        <v>102</v>
      </c>
      <c r="C123" s="165">
        <v>124697</v>
      </c>
      <c r="D123" s="165">
        <v>71188</v>
      </c>
      <c r="E123" s="165">
        <v>110162</v>
      </c>
      <c r="F123" s="165">
        <v>143385</v>
      </c>
      <c r="G123" s="165">
        <v>181396</v>
      </c>
      <c r="H123" s="165">
        <v>174490</v>
      </c>
      <c r="I123" s="166">
        <f>IFERROR(H123/G123-1,"-")</f>
        <v>-3.807140179496793E-2</v>
      </c>
      <c r="J123" s="180">
        <f t="shared" si="50"/>
        <v>0.58394001561336939</v>
      </c>
      <c r="K123" s="165">
        <f t="shared" si="51"/>
        <v>-6906</v>
      </c>
      <c r="L123" s="165">
        <f t="shared" si="52"/>
        <v>64328</v>
      </c>
      <c r="M123" s="166">
        <f>H123/H$8</f>
        <v>4.8366332796958306E-3</v>
      </c>
      <c r="N123" s="81"/>
    </row>
    <row r="124" spans="1:14" x14ac:dyDescent="0.25">
      <c r="A124" s="1"/>
      <c r="B124" s="160" t="s">
        <v>109</v>
      </c>
      <c r="C124" s="161">
        <v>268029</v>
      </c>
      <c r="D124" s="161">
        <v>100111</v>
      </c>
      <c r="E124" s="161">
        <v>152538</v>
      </c>
      <c r="F124" s="161">
        <v>271555</v>
      </c>
      <c r="G124" s="161">
        <v>274112</v>
      </c>
      <c r="H124" s="161">
        <v>275874</v>
      </c>
      <c r="I124" s="162">
        <f>IFERROR(H124/G124-1,"-")</f>
        <v>6.4280294186318532E-3</v>
      </c>
      <c r="J124" s="179">
        <f t="shared" si="50"/>
        <v>0.80855917869645588</v>
      </c>
      <c r="K124" s="161">
        <f t="shared" si="51"/>
        <v>1762</v>
      </c>
      <c r="L124" s="161">
        <f t="shared" si="52"/>
        <v>123336</v>
      </c>
      <c r="M124" s="162">
        <f>H124/H$8</f>
        <v>7.6468644014144509E-3</v>
      </c>
      <c r="N124" s="81"/>
    </row>
    <row r="125" spans="1:14" s="57" customFormat="1" x14ac:dyDescent="0.25">
      <c r="B125" s="164" t="s">
        <v>112</v>
      </c>
      <c r="C125" s="165">
        <v>33000</v>
      </c>
      <c r="D125" s="165">
        <v>11431</v>
      </c>
      <c r="E125" s="165">
        <v>11117</v>
      </c>
      <c r="F125" s="165">
        <v>33351</v>
      </c>
      <c r="G125" s="165">
        <v>40267</v>
      </c>
      <c r="H125" s="165">
        <v>36521</v>
      </c>
      <c r="I125" s="166">
        <f t="shared" ref="I125:I132" si="53">IFERROR(H125/G125-1,"-")</f>
        <v>-9.3029031216628977E-2</v>
      </c>
      <c r="J125" s="180">
        <f t="shared" si="50"/>
        <v>2.2851488710983179</v>
      </c>
      <c r="K125" s="165">
        <f t="shared" si="51"/>
        <v>-3746</v>
      </c>
      <c r="L125" s="165">
        <f t="shared" si="52"/>
        <v>25404</v>
      </c>
      <c r="M125" s="166">
        <f t="shared" ref="M125:M132" si="54">H125/H$8</f>
        <v>1.0123140810807006E-3</v>
      </c>
      <c r="N125" s="167"/>
    </row>
    <row r="126" spans="1:14" s="57" customFormat="1" x14ac:dyDescent="0.25">
      <c r="B126" s="164" t="s">
        <v>115</v>
      </c>
      <c r="C126" s="165">
        <v>30865</v>
      </c>
      <c r="D126" s="165">
        <v>11548</v>
      </c>
      <c r="E126" s="165">
        <v>23428</v>
      </c>
      <c r="F126" s="165">
        <v>34791</v>
      </c>
      <c r="G126" s="165">
        <v>43445</v>
      </c>
      <c r="H126" s="165">
        <v>42161</v>
      </c>
      <c r="I126" s="166">
        <f t="shared" si="53"/>
        <v>-2.9554609276096211E-2</v>
      </c>
      <c r="J126" s="180">
        <f t="shared" si="50"/>
        <v>0.79959877070172447</v>
      </c>
      <c r="K126" s="165">
        <f t="shared" si="51"/>
        <v>-1284</v>
      </c>
      <c r="L126" s="165">
        <f t="shared" si="52"/>
        <v>18733</v>
      </c>
      <c r="M126" s="166">
        <f t="shared" si="54"/>
        <v>1.1686474623488791E-3</v>
      </c>
      <c r="N126" s="167"/>
    </row>
    <row r="127" spans="1:14" x14ac:dyDescent="0.25">
      <c r="A127" s="1"/>
      <c r="B127" s="164" t="s">
        <v>118</v>
      </c>
      <c r="C127" s="165">
        <v>20310</v>
      </c>
      <c r="D127" s="165">
        <v>7014</v>
      </c>
      <c r="E127" s="165">
        <v>18250</v>
      </c>
      <c r="F127" s="165">
        <v>23874</v>
      </c>
      <c r="G127" s="165">
        <v>26737</v>
      </c>
      <c r="H127" s="165">
        <v>26375</v>
      </c>
      <c r="I127" s="166">
        <f t="shared" si="53"/>
        <v>-1.3539290122302372E-2</v>
      </c>
      <c r="J127" s="180">
        <f t="shared" si="50"/>
        <v>0.4452054794520548</v>
      </c>
      <c r="K127" s="165">
        <f t="shared" si="51"/>
        <v>-362</v>
      </c>
      <c r="L127" s="165">
        <f t="shared" si="52"/>
        <v>8125</v>
      </c>
      <c r="M127" s="166">
        <f t="shared" si="54"/>
        <v>7.3108030690571108E-4</v>
      </c>
      <c r="N127" s="81"/>
    </row>
    <row r="128" spans="1:14" x14ac:dyDescent="0.25">
      <c r="A128" s="1"/>
      <c r="B128" s="164" t="s">
        <v>125</v>
      </c>
      <c r="C128" s="165">
        <v>4930</v>
      </c>
      <c r="D128" s="165">
        <v>1882</v>
      </c>
      <c r="E128" s="165">
        <v>3678</v>
      </c>
      <c r="F128" s="165">
        <v>6463</v>
      </c>
      <c r="G128" s="165">
        <v>7383</v>
      </c>
      <c r="H128" s="165">
        <v>7428</v>
      </c>
      <c r="I128" s="166">
        <f t="shared" si="53"/>
        <v>6.0950832994717263E-3</v>
      </c>
      <c r="J128" s="180">
        <f t="shared" si="50"/>
        <v>1.0195758564437196</v>
      </c>
      <c r="K128" s="165">
        <f t="shared" si="51"/>
        <v>45</v>
      </c>
      <c r="L128" s="165">
        <f t="shared" si="52"/>
        <v>3750</v>
      </c>
      <c r="M128" s="166">
        <f t="shared" si="54"/>
        <v>2.0589438937234587E-4</v>
      </c>
      <c r="N128" s="81"/>
    </row>
    <row r="129" spans="1:14" x14ac:dyDescent="0.25">
      <c r="A129" s="1"/>
      <c r="B129" s="164" t="s">
        <v>121</v>
      </c>
      <c r="C129" s="165">
        <v>3923</v>
      </c>
      <c r="D129" s="165">
        <v>1919</v>
      </c>
      <c r="E129" s="165">
        <v>3450</v>
      </c>
      <c r="F129" s="165">
        <v>4851</v>
      </c>
      <c r="G129" s="165">
        <v>5958</v>
      </c>
      <c r="H129" s="165">
        <v>5916</v>
      </c>
      <c r="I129" s="166">
        <f t="shared" si="53"/>
        <v>-7.0493454179254567E-3</v>
      </c>
      <c r="J129" s="180">
        <f t="shared" si="50"/>
        <v>0.71478260869565213</v>
      </c>
      <c r="K129" s="165">
        <f t="shared" si="51"/>
        <v>-42</v>
      </c>
      <c r="L129" s="165">
        <f t="shared" si="52"/>
        <v>2466</v>
      </c>
      <c r="M129" s="166">
        <f t="shared" si="54"/>
        <v>1.6398373822385542E-4</v>
      </c>
      <c r="N129" s="81"/>
    </row>
    <row r="130" spans="1:14" x14ac:dyDescent="0.25">
      <c r="A130" s="1"/>
      <c r="B130" s="164" t="s">
        <v>130</v>
      </c>
      <c r="C130" s="165">
        <v>4303</v>
      </c>
      <c r="D130" s="165">
        <v>1701</v>
      </c>
      <c r="E130" s="165">
        <v>1442</v>
      </c>
      <c r="F130" s="165">
        <v>2747</v>
      </c>
      <c r="G130" s="165">
        <v>3505</v>
      </c>
      <c r="H130" s="165">
        <v>3870</v>
      </c>
      <c r="I130" s="166">
        <f t="shared" si="53"/>
        <v>0.10413694721825961</v>
      </c>
      <c r="J130" s="180">
        <f t="shared" si="50"/>
        <v>1.6837725381414703</v>
      </c>
      <c r="K130" s="165">
        <f t="shared" si="51"/>
        <v>365</v>
      </c>
      <c r="L130" s="165">
        <f t="shared" si="52"/>
        <v>2428</v>
      </c>
      <c r="M130" s="166">
        <f t="shared" si="54"/>
        <v>1.0727130948720765E-4</v>
      </c>
      <c r="N130" s="81"/>
    </row>
    <row r="131" spans="1:14" x14ac:dyDescent="0.25">
      <c r="A131" s="163" t="s">
        <v>146</v>
      </c>
      <c r="B131" s="164" t="s">
        <v>133</v>
      </c>
      <c r="C131" s="165">
        <v>5879</v>
      </c>
      <c r="D131" s="165">
        <v>2155</v>
      </c>
      <c r="E131" s="165">
        <v>2010</v>
      </c>
      <c r="F131" s="165">
        <v>4022</v>
      </c>
      <c r="G131" s="165">
        <v>4912</v>
      </c>
      <c r="H131" s="165">
        <v>5417</v>
      </c>
      <c r="I131" s="166">
        <f t="shared" si="53"/>
        <v>0.10280944625407162</v>
      </c>
      <c r="J131" s="180">
        <f t="shared" si="50"/>
        <v>1.6950248756218906</v>
      </c>
      <c r="K131" s="165">
        <f t="shared" si="51"/>
        <v>505</v>
      </c>
      <c r="L131" s="165">
        <f t="shared" si="52"/>
        <v>3407</v>
      </c>
      <c r="M131" s="166">
        <f t="shared" si="54"/>
        <v>1.5015211459746872E-4</v>
      </c>
      <c r="N131" s="81"/>
    </row>
    <row r="132" spans="1:14" x14ac:dyDescent="0.25">
      <c r="A132" s="168" t="s">
        <v>147</v>
      </c>
      <c r="B132" s="169" t="s">
        <v>147</v>
      </c>
      <c r="C132" s="170">
        <f t="shared" ref="C132:H132" si="55">C124-SUM(C125:C131)</f>
        <v>164819</v>
      </c>
      <c r="D132" s="170">
        <f t="shared" si="55"/>
        <v>62461</v>
      </c>
      <c r="E132" s="170">
        <f t="shared" si="55"/>
        <v>89163</v>
      </c>
      <c r="F132" s="170">
        <f t="shared" si="55"/>
        <v>161456</v>
      </c>
      <c r="G132" s="170">
        <f t="shared" si="55"/>
        <v>141905</v>
      </c>
      <c r="H132" s="170">
        <f t="shared" si="55"/>
        <v>148186</v>
      </c>
      <c r="I132" s="171">
        <f t="shared" si="53"/>
        <v>4.4262006271801546E-2</v>
      </c>
      <c r="J132" s="181">
        <f t="shared" si="50"/>
        <v>0.66196740800556286</v>
      </c>
      <c r="K132" s="170">
        <f>H132-G132</f>
        <v>6281</v>
      </c>
      <c r="L132" s="170">
        <f t="shared" si="52"/>
        <v>59023</v>
      </c>
      <c r="M132" s="171">
        <f t="shared" si="54"/>
        <v>4.1075209993982828E-3</v>
      </c>
      <c r="N132" s="81"/>
    </row>
    <row r="133" spans="1:14" s="147" customFormat="1" x14ac:dyDescent="0.25">
      <c r="B133" s="156" t="s">
        <v>54</v>
      </c>
      <c r="C133" s="154"/>
      <c r="D133" s="154"/>
      <c r="E133" s="154"/>
      <c r="F133" s="154"/>
      <c r="G133" s="154"/>
      <c r="H133" s="154"/>
      <c r="I133" s="154"/>
      <c r="J133" s="154"/>
      <c r="K133" s="154"/>
      <c r="L133" s="154"/>
      <c r="M133" s="154"/>
    </row>
    <row r="134" spans="1:14" x14ac:dyDescent="0.25">
      <c r="A134" s="1">
        <v>3</v>
      </c>
      <c r="B134" s="157" t="s">
        <v>70</v>
      </c>
      <c r="C134" s="177">
        <v>1856756</v>
      </c>
      <c r="D134" s="177">
        <v>610766</v>
      </c>
      <c r="E134" s="177">
        <v>774989</v>
      </c>
      <c r="F134" s="177">
        <v>1753117</v>
      </c>
      <c r="G134" s="177">
        <v>1886738</v>
      </c>
      <c r="H134" s="177">
        <v>1988780</v>
      </c>
      <c r="I134" s="178">
        <f>IFERROR(H134/G134-1,"-")</f>
        <v>5.4083820859069931E-2</v>
      </c>
      <c r="J134" s="178">
        <f>IFERROR(H134/E134-1,"-")</f>
        <v>1.566204165478478</v>
      </c>
      <c r="K134" s="177">
        <f>H134-G134</f>
        <v>102042</v>
      </c>
      <c r="L134" s="177">
        <f>H134-E134</f>
        <v>1213791</v>
      </c>
      <c r="M134" s="178">
        <f>H134/H$8</f>
        <v>5.512636560257593E-2</v>
      </c>
      <c r="N134" s="81"/>
    </row>
    <row r="135" spans="1:14" x14ac:dyDescent="0.25">
      <c r="A135" s="1" t="s">
        <v>98</v>
      </c>
      <c r="B135" s="160" t="s">
        <v>99</v>
      </c>
      <c r="C135" s="161">
        <v>192906</v>
      </c>
      <c r="D135" s="161">
        <v>77176</v>
      </c>
      <c r="E135" s="161">
        <v>141993</v>
      </c>
      <c r="F135" s="161">
        <v>105219</v>
      </c>
      <c r="G135" s="161">
        <v>114083</v>
      </c>
      <c r="H135" s="161">
        <v>103740</v>
      </c>
      <c r="I135" s="162">
        <f>IFERROR(H135/G135-1,"-")</f>
        <v>-9.0662061832174845E-2</v>
      </c>
      <c r="J135" s="179">
        <f t="shared" ref="J135:J146" si="56">IFERROR(H135/E135-1,"-")</f>
        <v>-0.26940060425513934</v>
      </c>
      <c r="K135" s="161">
        <f t="shared" ref="K135:K145" si="57">H135-G135</f>
        <v>-10343</v>
      </c>
      <c r="L135" s="161">
        <f t="shared" ref="L135:L146" si="58">H135-E135</f>
        <v>-38253</v>
      </c>
      <c r="M135" s="162">
        <f>H135/H$8</f>
        <v>2.8755363426880938E-3</v>
      </c>
      <c r="N135" s="81"/>
    </row>
    <row r="136" spans="1:14" x14ac:dyDescent="0.25">
      <c r="A136" s="163" t="s">
        <v>105</v>
      </c>
      <c r="B136" s="164" t="s">
        <v>105</v>
      </c>
      <c r="C136" s="165">
        <v>94828</v>
      </c>
      <c r="D136" s="165">
        <v>51058</v>
      </c>
      <c r="E136" s="165">
        <v>86437</v>
      </c>
      <c r="F136" s="165">
        <v>57546</v>
      </c>
      <c r="G136" s="165">
        <v>60090</v>
      </c>
      <c r="H136" s="165">
        <v>47885</v>
      </c>
      <c r="I136" s="166">
        <f>IFERROR(H136/G136-1,"-")</f>
        <v>-0.2031119986686637</v>
      </c>
      <c r="J136" s="180">
        <f t="shared" si="56"/>
        <v>-0.44601270289343686</v>
      </c>
      <c r="K136" s="165">
        <f t="shared" si="57"/>
        <v>-12205</v>
      </c>
      <c r="L136" s="165">
        <f t="shared" si="58"/>
        <v>-38552</v>
      </c>
      <c r="M136" s="166">
        <f>H136/H$8</f>
        <v>1.3273092131253072E-3</v>
      </c>
      <c r="N136" s="81"/>
    </row>
    <row r="137" spans="1:14" x14ac:dyDescent="0.25">
      <c r="A137" s="163" t="s">
        <v>102</v>
      </c>
      <c r="B137" s="164" t="s">
        <v>102</v>
      </c>
      <c r="C137" s="165">
        <v>98078</v>
      </c>
      <c r="D137" s="165">
        <v>26118</v>
      </c>
      <c r="E137" s="165">
        <v>55556</v>
      </c>
      <c r="F137" s="165">
        <v>47673</v>
      </c>
      <c r="G137" s="165">
        <v>53993</v>
      </c>
      <c r="H137" s="165">
        <v>55855</v>
      </c>
      <c r="I137" s="166">
        <f>IFERROR(H137/G137-1,"-")</f>
        <v>3.4485951882651467E-2</v>
      </c>
      <c r="J137" s="180">
        <f t="shared" si="56"/>
        <v>5.3819569443445126E-3</v>
      </c>
      <c r="K137" s="165">
        <f t="shared" si="57"/>
        <v>1862</v>
      </c>
      <c r="L137" s="165">
        <f t="shared" si="58"/>
        <v>299</v>
      </c>
      <c r="M137" s="166">
        <f>H137/H$8</f>
        <v>1.5482271295627866E-3</v>
      </c>
      <c r="N137" s="81"/>
    </row>
    <row r="138" spans="1:14" x14ac:dyDescent="0.25">
      <c r="A138" s="1"/>
      <c r="B138" s="160" t="s">
        <v>109</v>
      </c>
      <c r="C138" s="161">
        <v>1663850</v>
      </c>
      <c r="D138" s="161">
        <v>533590</v>
      </c>
      <c r="E138" s="161">
        <v>632996</v>
      </c>
      <c r="F138" s="161">
        <v>1647898</v>
      </c>
      <c r="G138" s="161">
        <v>1772655</v>
      </c>
      <c r="H138" s="161">
        <v>1885040</v>
      </c>
      <c r="I138" s="162">
        <f>IFERROR(H138/G138-1,"-")</f>
        <v>6.3399251405377832E-2</v>
      </c>
      <c r="J138" s="179">
        <f t="shared" si="56"/>
        <v>1.9779651056246803</v>
      </c>
      <c r="K138" s="161">
        <f t="shared" si="57"/>
        <v>112385</v>
      </c>
      <c r="L138" s="161">
        <f t="shared" si="58"/>
        <v>1252044</v>
      </c>
      <c r="M138" s="162">
        <f>H138/H$8</f>
        <v>5.2250829259887839E-2</v>
      </c>
      <c r="N138" s="81"/>
    </row>
    <row r="139" spans="1:14" s="57" customFormat="1" x14ac:dyDescent="0.25">
      <c r="B139" s="164" t="s">
        <v>112</v>
      </c>
      <c r="C139" s="165">
        <v>847716</v>
      </c>
      <c r="D139" s="165">
        <v>226701</v>
      </c>
      <c r="E139" s="165">
        <v>182984</v>
      </c>
      <c r="F139" s="165">
        <v>740061</v>
      </c>
      <c r="G139" s="165">
        <v>745732</v>
      </c>
      <c r="H139" s="165">
        <v>857461</v>
      </c>
      <c r="I139" s="166">
        <f t="shared" ref="I139:I146" si="59">IFERROR(H139/G139-1,"-")</f>
        <v>0.1498246018676952</v>
      </c>
      <c r="J139" s="180">
        <f t="shared" si="56"/>
        <v>3.6859889389236216</v>
      </c>
      <c r="K139" s="165">
        <f t="shared" si="57"/>
        <v>111729</v>
      </c>
      <c r="L139" s="165">
        <f t="shared" si="58"/>
        <v>674477</v>
      </c>
      <c r="M139" s="166">
        <f t="shared" ref="M139:M146" si="60">H139/H$8</f>
        <v>2.3767691034679732E-2</v>
      </c>
      <c r="N139" s="167"/>
    </row>
    <row r="140" spans="1:14" s="57" customFormat="1" x14ac:dyDescent="0.25">
      <c r="B140" s="164" t="s">
        <v>115</v>
      </c>
      <c r="C140" s="165">
        <v>113771</v>
      </c>
      <c r="D140" s="165">
        <v>45672</v>
      </c>
      <c r="E140" s="165">
        <v>69325</v>
      </c>
      <c r="F140" s="165">
        <v>132461</v>
      </c>
      <c r="G140" s="165">
        <v>181229</v>
      </c>
      <c r="H140" s="165">
        <v>190327</v>
      </c>
      <c r="I140" s="166">
        <f t="shared" si="59"/>
        <v>5.0201678539306682E-2</v>
      </c>
      <c r="J140" s="180">
        <f t="shared" si="56"/>
        <v>1.7454309412188964</v>
      </c>
      <c r="K140" s="165">
        <f t="shared" si="57"/>
        <v>9098</v>
      </c>
      <c r="L140" s="165">
        <f t="shared" si="58"/>
        <v>121002</v>
      </c>
      <c r="M140" s="166">
        <f t="shared" si="60"/>
        <v>5.2756140880547212E-3</v>
      </c>
      <c r="N140" s="167"/>
    </row>
    <row r="141" spans="1:14" x14ac:dyDescent="0.25">
      <c r="A141" s="1"/>
      <c r="B141" s="164" t="s">
        <v>118</v>
      </c>
      <c r="C141" s="165">
        <v>132722</v>
      </c>
      <c r="D141" s="165">
        <v>42455</v>
      </c>
      <c r="E141" s="165">
        <v>94016</v>
      </c>
      <c r="F141" s="165">
        <v>171222</v>
      </c>
      <c r="G141" s="165">
        <v>162316</v>
      </c>
      <c r="H141" s="165">
        <v>166671</v>
      </c>
      <c r="I141" s="166">
        <f t="shared" si="59"/>
        <v>2.6830380245939978E-2</v>
      </c>
      <c r="J141" s="180">
        <f t="shared" si="56"/>
        <v>0.77279399251191294</v>
      </c>
      <c r="K141" s="165">
        <f t="shared" si="57"/>
        <v>4355</v>
      </c>
      <c r="L141" s="165">
        <f t="shared" si="58"/>
        <v>72655</v>
      </c>
      <c r="M141" s="166">
        <f t="shared" si="60"/>
        <v>4.6199008846362763E-3</v>
      </c>
      <c r="N141" s="81"/>
    </row>
    <row r="142" spans="1:14" x14ac:dyDescent="0.25">
      <c r="A142" s="1"/>
      <c r="B142" s="164" t="s">
        <v>125</v>
      </c>
      <c r="C142" s="165">
        <v>38846</v>
      </c>
      <c r="D142" s="165">
        <v>8958</v>
      </c>
      <c r="E142" s="165">
        <v>22357</v>
      </c>
      <c r="F142" s="165">
        <v>60881</v>
      </c>
      <c r="G142" s="165">
        <v>78552</v>
      </c>
      <c r="H142" s="165">
        <v>58930</v>
      </c>
      <c r="I142" s="166">
        <f t="shared" si="59"/>
        <v>-0.24979631327019047</v>
      </c>
      <c r="J142" s="180">
        <f t="shared" si="56"/>
        <v>1.6358634879456098</v>
      </c>
      <c r="K142" s="165">
        <f t="shared" si="57"/>
        <v>-19622</v>
      </c>
      <c r="L142" s="165">
        <f t="shared" si="58"/>
        <v>36573</v>
      </c>
      <c r="M142" s="166">
        <f t="shared" si="60"/>
        <v>1.6334620847754903E-3</v>
      </c>
      <c r="N142" s="81"/>
    </row>
    <row r="143" spans="1:14" x14ac:dyDescent="0.25">
      <c r="A143" s="1"/>
      <c r="B143" s="164" t="s">
        <v>121</v>
      </c>
      <c r="C143" s="165">
        <v>39195</v>
      </c>
      <c r="D143" s="165">
        <v>12571</v>
      </c>
      <c r="E143" s="165">
        <v>20808</v>
      </c>
      <c r="F143" s="165">
        <v>32138</v>
      </c>
      <c r="G143" s="165">
        <v>40929</v>
      </c>
      <c r="H143" s="165">
        <v>41917</v>
      </c>
      <c r="I143" s="166">
        <f t="shared" si="59"/>
        <v>2.4139363287644544E-2</v>
      </c>
      <c r="J143" s="180">
        <f t="shared" si="56"/>
        <v>1.0144655901576316</v>
      </c>
      <c r="K143" s="165">
        <f t="shared" si="57"/>
        <v>988</v>
      </c>
      <c r="L143" s="165">
        <f t="shared" si="58"/>
        <v>21109</v>
      </c>
      <c r="M143" s="166">
        <f t="shared" si="60"/>
        <v>1.1618841033011068E-3</v>
      </c>
      <c r="N143" s="81"/>
    </row>
    <row r="144" spans="1:14" x14ac:dyDescent="0.25">
      <c r="A144" s="1"/>
      <c r="B144" s="164" t="s">
        <v>130</v>
      </c>
      <c r="C144" s="165">
        <v>18681</v>
      </c>
      <c r="D144" s="165">
        <v>15372</v>
      </c>
      <c r="E144" s="165">
        <v>9958</v>
      </c>
      <c r="F144" s="165">
        <v>24691</v>
      </c>
      <c r="G144" s="165">
        <v>28155</v>
      </c>
      <c r="H144" s="165">
        <v>26591</v>
      </c>
      <c r="I144" s="166">
        <f t="shared" si="59"/>
        <v>-5.554963594388207E-2</v>
      </c>
      <c r="J144" s="180">
        <f t="shared" si="56"/>
        <v>1.6703153243623219</v>
      </c>
      <c r="K144" s="165">
        <f t="shared" si="57"/>
        <v>-1564</v>
      </c>
      <c r="L144" s="165">
        <f t="shared" si="58"/>
        <v>16633</v>
      </c>
      <c r="M144" s="166">
        <f t="shared" si="60"/>
        <v>7.3706754278406693E-4</v>
      </c>
      <c r="N144" s="81"/>
    </row>
    <row r="145" spans="1:14" x14ac:dyDescent="0.25">
      <c r="A145" s="163" t="s">
        <v>146</v>
      </c>
      <c r="B145" s="164" t="s">
        <v>133</v>
      </c>
      <c r="C145" s="165">
        <v>47882</v>
      </c>
      <c r="D145" s="165">
        <v>29519</v>
      </c>
      <c r="E145" s="165">
        <v>6358</v>
      </c>
      <c r="F145" s="165">
        <v>14264</v>
      </c>
      <c r="G145" s="165">
        <v>21375</v>
      </c>
      <c r="H145" s="165">
        <v>19097</v>
      </c>
      <c r="I145" s="166">
        <f t="shared" si="59"/>
        <v>-0.10657309941520465</v>
      </c>
      <c r="J145" s="180">
        <f t="shared" si="56"/>
        <v>2.0036174897766594</v>
      </c>
      <c r="K145" s="165">
        <f t="shared" si="57"/>
        <v>-2278</v>
      </c>
      <c r="L145" s="165">
        <f t="shared" si="58"/>
        <v>12739</v>
      </c>
      <c r="M145" s="166">
        <f t="shared" si="60"/>
        <v>5.2934372022666785E-4</v>
      </c>
      <c r="N145" s="81"/>
    </row>
    <row r="146" spans="1:14" x14ac:dyDescent="0.25">
      <c r="A146" s="168" t="s">
        <v>147</v>
      </c>
      <c r="B146" s="169" t="s">
        <v>147</v>
      </c>
      <c r="C146" s="170">
        <f t="shared" ref="C146:H146" si="61">C138-SUM(C139:C145)</f>
        <v>425037</v>
      </c>
      <c r="D146" s="170">
        <f t="shared" si="61"/>
        <v>152342</v>
      </c>
      <c r="E146" s="170">
        <f t="shared" si="61"/>
        <v>227190</v>
      </c>
      <c r="F146" s="170">
        <f t="shared" si="61"/>
        <v>472180</v>
      </c>
      <c r="G146" s="170">
        <f t="shared" si="61"/>
        <v>514367</v>
      </c>
      <c r="H146" s="170">
        <f t="shared" si="61"/>
        <v>524046</v>
      </c>
      <c r="I146" s="171">
        <f t="shared" si="59"/>
        <v>1.881730359840339E-2</v>
      </c>
      <c r="J146" s="181">
        <f t="shared" si="56"/>
        <v>1.3066420176944407</v>
      </c>
      <c r="K146" s="170">
        <f>H146-G146</f>
        <v>9679</v>
      </c>
      <c r="L146" s="170">
        <f t="shared" si="58"/>
        <v>296856</v>
      </c>
      <c r="M146" s="171">
        <f t="shared" si="60"/>
        <v>1.4525865801429774E-2</v>
      </c>
      <c r="N146" s="81"/>
    </row>
    <row r="147" spans="1:14" s="147" customFormat="1" x14ac:dyDescent="0.25">
      <c r="B147" s="156" t="s">
        <v>55</v>
      </c>
      <c r="C147" s="154"/>
      <c r="D147" s="154"/>
      <c r="E147" s="154"/>
      <c r="F147" s="154"/>
      <c r="G147" s="154"/>
      <c r="H147" s="154"/>
      <c r="I147" s="154"/>
      <c r="J147" s="154"/>
      <c r="K147" s="154"/>
      <c r="L147" s="154"/>
      <c r="M147" s="154"/>
    </row>
    <row r="148" spans="1:14" x14ac:dyDescent="0.25">
      <c r="A148" s="1">
        <v>3</v>
      </c>
      <c r="B148" s="157" t="s">
        <v>70</v>
      </c>
      <c r="C148" s="177">
        <v>721244</v>
      </c>
      <c r="D148" s="177">
        <v>235241</v>
      </c>
      <c r="E148" s="177">
        <v>320278</v>
      </c>
      <c r="F148" s="177">
        <v>622441</v>
      </c>
      <c r="G148" s="177">
        <v>781085</v>
      </c>
      <c r="H148" s="177">
        <v>735651</v>
      </c>
      <c r="I148" s="178">
        <f>IFERROR(H148/G148-1,"-")</f>
        <v>-5.8167805040424514E-2</v>
      </c>
      <c r="J148" s="178">
        <f>IFERROR(H148/E148-1,"-")</f>
        <v>1.2969139310224245</v>
      </c>
      <c r="K148" s="177">
        <f>H148-G148</f>
        <v>-45434</v>
      </c>
      <c r="L148" s="177">
        <f>H148-E148</f>
        <v>415373</v>
      </c>
      <c r="M148" s="178">
        <f>H148/H$8</f>
        <v>2.0391278060871782E-2</v>
      </c>
      <c r="N148" s="81"/>
    </row>
    <row r="149" spans="1:14" x14ac:dyDescent="0.25">
      <c r="A149" s="1" t="s">
        <v>98</v>
      </c>
      <c r="B149" s="160" t="s">
        <v>99</v>
      </c>
      <c r="C149" s="161">
        <v>261107</v>
      </c>
      <c r="D149" s="161">
        <v>90513</v>
      </c>
      <c r="E149" s="161">
        <v>118326</v>
      </c>
      <c r="F149" s="161">
        <v>251371</v>
      </c>
      <c r="G149" s="161">
        <v>299320</v>
      </c>
      <c r="H149" s="161">
        <v>274535</v>
      </c>
      <c r="I149" s="162">
        <f>IFERROR(H149/G149-1,"-")</f>
        <v>-8.2804356541494095E-2</v>
      </c>
      <c r="J149" s="179">
        <f t="shared" ref="J149:J160" si="62">IFERROR(H149/E149-1,"-")</f>
        <v>1.3201578689383568</v>
      </c>
      <c r="K149" s="161">
        <f t="shared" ref="K149:K159" si="63">H149-G149</f>
        <v>-24785</v>
      </c>
      <c r="L149" s="161">
        <f t="shared" ref="L149:L160" si="64">H149-E149</f>
        <v>156209</v>
      </c>
      <c r="M149" s="162">
        <f>H149/H$8</f>
        <v>7.6097490827055697E-3</v>
      </c>
      <c r="N149" s="81"/>
    </row>
    <row r="150" spans="1:14" x14ac:dyDescent="0.25">
      <c r="A150" s="163" t="s">
        <v>105</v>
      </c>
      <c r="B150" s="164" t="s">
        <v>105</v>
      </c>
      <c r="C150" s="165">
        <v>111386</v>
      </c>
      <c r="D150" s="165">
        <v>46140</v>
      </c>
      <c r="E150" s="165">
        <v>86621</v>
      </c>
      <c r="F150" s="165">
        <v>153781</v>
      </c>
      <c r="G150" s="165">
        <v>212501</v>
      </c>
      <c r="H150" s="165">
        <v>179525</v>
      </c>
      <c r="I150" s="166">
        <f>IFERROR(H150/G150-1,"-")</f>
        <v>-0.15518044620966487</v>
      </c>
      <c r="J150" s="180">
        <f t="shared" si="62"/>
        <v>1.0725343738816222</v>
      </c>
      <c r="K150" s="165">
        <f t="shared" si="63"/>
        <v>-32976</v>
      </c>
      <c r="L150" s="165">
        <f t="shared" si="64"/>
        <v>92904</v>
      </c>
      <c r="M150" s="166">
        <f>H150/H$8</f>
        <v>4.9761968567676885E-3</v>
      </c>
      <c r="N150" s="81"/>
    </row>
    <row r="151" spans="1:14" x14ac:dyDescent="0.25">
      <c r="A151" s="163" t="s">
        <v>102</v>
      </c>
      <c r="B151" s="164" t="s">
        <v>102</v>
      </c>
      <c r="C151" s="165">
        <v>149721</v>
      </c>
      <c r="D151" s="165">
        <v>44373</v>
      </c>
      <c r="E151" s="165">
        <v>31705</v>
      </c>
      <c r="F151" s="165">
        <v>97590</v>
      </c>
      <c r="G151" s="165">
        <v>86819</v>
      </c>
      <c r="H151" s="165">
        <v>95010</v>
      </c>
      <c r="I151" s="166">
        <f>IFERROR(H151/G151-1,"-")</f>
        <v>9.4345707736785744E-2</v>
      </c>
      <c r="J151" s="180">
        <f t="shared" si="62"/>
        <v>1.9966882195237345</v>
      </c>
      <c r="K151" s="165">
        <f t="shared" si="63"/>
        <v>8191</v>
      </c>
      <c r="L151" s="165">
        <f t="shared" si="64"/>
        <v>63305</v>
      </c>
      <c r="M151" s="166">
        <f>H151/H$8</f>
        <v>2.6335522259378812E-3</v>
      </c>
      <c r="N151" s="81"/>
    </row>
    <row r="152" spans="1:14" x14ac:dyDescent="0.25">
      <c r="A152" s="1"/>
      <c r="B152" s="160" t="s">
        <v>109</v>
      </c>
      <c r="C152" s="161">
        <v>460137</v>
      </c>
      <c r="D152" s="161">
        <v>144728</v>
      </c>
      <c r="E152" s="161">
        <v>201952</v>
      </c>
      <c r="F152" s="161">
        <v>371070</v>
      </c>
      <c r="G152" s="161">
        <v>481765</v>
      </c>
      <c r="H152" s="161">
        <v>461116</v>
      </c>
      <c r="I152" s="162">
        <f>IFERROR(H152/G152-1,"-")</f>
        <v>-4.2861145994416372E-2</v>
      </c>
      <c r="J152" s="179">
        <f t="shared" si="62"/>
        <v>1.2832950404056409</v>
      </c>
      <c r="K152" s="161">
        <f t="shared" si="63"/>
        <v>-20649</v>
      </c>
      <c r="L152" s="161">
        <f t="shared" si="64"/>
        <v>259164</v>
      </c>
      <c r="M152" s="162">
        <f>H152/H$8</f>
        <v>1.2781528978166213E-2</v>
      </c>
      <c r="N152" s="81"/>
    </row>
    <row r="153" spans="1:14" s="57" customFormat="1" x14ac:dyDescent="0.25">
      <c r="B153" s="164" t="s">
        <v>112</v>
      </c>
      <c r="C153" s="165">
        <v>120718</v>
      </c>
      <c r="D153" s="165">
        <v>31890</v>
      </c>
      <c r="E153" s="165">
        <v>39412</v>
      </c>
      <c r="F153" s="165">
        <v>136400</v>
      </c>
      <c r="G153" s="165">
        <v>179243</v>
      </c>
      <c r="H153" s="165">
        <v>146131</v>
      </c>
      <c r="I153" s="166">
        <f t="shared" ref="I153:I160" si="65">IFERROR(H153/G153-1,"-")</f>
        <v>-0.18473245817130934</v>
      </c>
      <c r="J153" s="180">
        <f t="shared" si="62"/>
        <v>2.7077793565411548</v>
      </c>
      <c r="K153" s="165">
        <f t="shared" si="63"/>
        <v>-33112</v>
      </c>
      <c r="L153" s="165">
        <f t="shared" si="64"/>
        <v>106719</v>
      </c>
      <c r="M153" s="166">
        <f t="shared" ref="M153:M160" si="66">H153/H$8</f>
        <v>4.0505591025000367E-3</v>
      </c>
      <c r="N153" s="167"/>
    </row>
    <row r="154" spans="1:14" s="57" customFormat="1" x14ac:dyDescent="0.25">
      <c r="B154" s="164" t="s">
        <v>115</v>
      </c>
      <c r="C154" s="165">
        <v>154372</v>
      </c>
      <c r="D154" s="165">
        <v>49978</v>
      </c>
      <c r="E154" s="165">
        <v>69931</v>
      </c>
      <c r="F154" s="165">
        <v>98479</v>
      </c>
      <c r="G154" s="165">
        <v>105256</v>
      </c>
      <c r="H154" s="165">
        <v>104855</v>
      </c>
      <c r="I154" s="166">
        <f t="shared" si="65"/>
        <v>-3.8097590636163581E-3</v>
      </c>
      <c r="J154" s="180">
        <f t="shared" si="62"/>
        <v>0.49940655789277999</v>
      </c>
      <c r="K154" s="165">
        <f t="shared" si="63"/>
        <v>-401</v>
      </c>
      <c r="L154" s="165">
        <f t="shared" si="64"/>
        <v>34924</v>
      </c>
      <c r="M154" s="166">
        <f t="shared" si="66"/>
        <v>2.9064426760416432E-3</v>
      </c>
      <c r="N154" s="167"/>
    </row>
    <row r="155" spans="1:14" x14ac:dyDescent="0.25">
      <c r="A155" s="1"/>
      <c r="B155" s="164" t="s">
        <v>118</v>
      </c>
      <c r="C155" s="165">
        <v>63972</v>
      </c>
      <c r="D155" s="165">
        <v>14033</v>
      </c>
      <c r="E155" s="165">
        <v>26362</v>
      </c>
      <c r="F155" s="165">
        <v>41410</v>
      </c>
      <c r="G155" s="165">
        <v>72199</v>
      </c>
      <c r="H155" s="165">
        <v>71765</v>
      </c>
      <c r="I155" s="166">
        <f t="shared" si="65"/>
        <v>-6.0111635895233606E-3</v>
      </c>
      <c r="J155" s="180">
        <f t="shared" si="62"/>
        <v>1.7222896593581671</v>
      </c>
      <c r="K155" s="165">
        <f t="shared" si="63"/>
        <v>-434</v>
      </c>
      <c r="L155" s="165">
        <f t="shared" si="64"/>
        <v>45403</v>
      </c>
      <c r="M155" s="166">
        <f t="shared" si="66"/>
        <v>1.9892314018990845E-3</v>
      </c>
      <c r="N155" s="81"/>
    </row>
    <row r="156" spans="1:14" x14ac:dyDescent="0.25">
      <c r="A156" s="1"/>
      <c r="B156" s="164" t="s">
        <v>125</v>
      </c>
      <c r="C156" s="165">
        <v>7808</v>
      </c>
      <c r="D156" s="165">
        <v>2588</v>
      </c>
      <c r="E156" s="165">
        <v>4562</v>
      </c>
      <c r="F156" s="165">
        <v>9484</v>
      </c>
      <c r="G156" s="165">
        <v>12559</v>
      </c>
      <c r="H156" s="165">
        <v>15268</v>
      </c>
      <c r="I156" s="166">
        <f t="shared" si="65"/>
        <v>0.21570188709292148</v>
      </c>
      <c r="J156" s="180">
        <f t="shared" si="62"/>
        <v>2.3467777290661989</v>
      </c>
      <c r="K156" s="165">
        <f t="shared" si="63"/>
        <v>2709</v>
      </c>
      <c r="L156" s="165">
        <f t="shared" si="64"/>
        <v>10706</v>
      </c>
      <c r="M156" s="166">
        <f t="shared" si="66"/>
        <v>4.2320887680896295E-4</v>
      </c>
      <c r="N156" s="81"/>
    </row>
    <row r="157" spans="1:14" x14ac:dyDescent="0.25">
      <c r="A157" s="1"/>
      <c r="B157" s="164" t="s">
        <v>121</v>
      </c>
      <c r="C157" s="165">
        <v>21924</v>
      </c>
      <c r="D157" s="165">
        <v>10906</v>
      </c>
      <c r="E157" s="165">
        <v>13772</v>
      </c>
      <c r="F157" s="165">
        <v>27289</v>
      </c>
      <c r="G157" s="165">
        <v>21390</v>
      </c>
      <c r="H157" s="165">
        <v>24668</v>
      </c>
      <c r="I157" s="166">
        <f t="shared" si="65"/>
        <v>0.15324918186068248</v>
      </c>
      <c r="J157" s="180">
        <f t="shared" si="62"/>
        <v>0.791170490851002</v>
      </c>
      <c r="K157" s="165">
        <f t="shared" si="63"/>
        <v>3278</v>
      </c>
      <c r="L157" s="165">
        <f t="shared" si="64"/>
        <v>10896</v>
      </c>
      <c r="M157" s="166">
        <f t="shared" si="66"/>
        <v>6.8376451225592725E-4</v>
      </c>
      <c r="N157" s="81"/>
    </row>
    <row r="158" spans="1:14" x14ac:dyDescent="0.25">
      <c r="A158" s="1"/>
      <c r="B158" s="164" t="s">
        <v>130</v>
      </c>
      <c r="C158" s="165">
        <v>2951</v>
      </c>
      <c r="D158" s="165">
        <v>2836</v>
      </c>
      <c r="E158" s="165">
        <v>1823</v>
      </c>
      <c r="F158" s="165">
        <v>2563</v>
      </c>
      <c r="G158" s="165">
        <v>4469</v>
      </c>
      <c r="H158" s="165">
        <v>3399</v>
      </c>
      <c r="I158" s="166">
        <f t="shared" si="65"/>
        <v>-0.23942716491385097</v>
      </c>
      <c r="J158" s="180">
        <f t="shared" si="62"/>
        <v>0.86450905101481079</v>
      </c>
      <c r="K158" s="165">
        <f t="shared" si="63"/>
        <v>-1070</v>
      </c>
      <c r="L158" s="165">
        <f t="shared" si="64"/>
        <v>1576</v>
      </c>
      <c r="M158" s="166">
        <f t="shared" si="66"/>
        <v>9.4215809030237421E-5</v>
      </c>
      <c r="N158" s="81"/>
    </row>
    <row r="159" spans="1:14" x14ac:dyDescent="0.25">
      <c r="A159" s="163" t="s">
        <v>146</v>
      </c>
      <c r="B159" s="164" t="s">
        <v>133</v>
      </c>
      <c r="C159" s="165">
        <v>7381</v>
      </c>
      <c r="D159" s="165">
        <v>3788</v>
      </c>
      <c r="E159" s="165">
        <v>2712</v>
      </c>
      <c r="F159" s="165">
        <v>4129</v>
      </c>
      <c r="G159" s="165">
        <v>6277</v>
      </c>
      <c r="H159" s="165">
        <v>5327</v>
      </c>
      <c r="I159" s="166">
        <f t="shared" si="65"/>
        <v>-0.15134618448303327</v>
      </c>
      <c r="J159" s="180">
        <f t="shared" si="62"/>
        <v>0.96423303834808261</v>
      </c>
      <c r="K159" s="165">
        <f t="shared" si="63"/>
        <v>-950</v>
      </c>
      <c r="L159" s="165">
        <f t="shared" si="64"/>
        <v>2615</v>
      </c>
      <c r="M159" s="166">
        <f t="shared" si="66"/>
        <v>1.4765743298148713E-4</v>
      </c>
      <c r="N159" s="81"/>
    </row>
    <row r="160" spans="1:14" x14ac:dyDescent="0.25">
      <c r="A160" s="168" t="s">
        <v>147</v>
      </c>
      <c r="B160" s="169" t="s">
        <v>147</v>
      </c>
      <c r="C160" s="170">
        <f t="shared" ref="C160:H160" si="67">C152-SUM(C153:C159)</f>
        <v>81011</v>
      </c>
      <c r="D160" s="170">
        <f t="shared" si="67"/>
        <v>28709</v>
      </c>
      <c r="E160" s="170">
        <f t="shared" si="67"/>
        <v>43378</v>
      </c>
      <c r="F160" s="170">
        <f t="shared" si="67"/>
        <v>51316</v>
      </c>
      <c r="G160" s="170">
        <f t="shared" si="67"/>
        <v>80372</v>
      </c>
      <c r="H160" s="170">
        <f t="shared" si="67"/>
        <v>89703</v>
      </c>
      <c r="I160" s="171">
        <f t="shared" si="65"/>
        <v>0.11609764594634941</v>
      </c>
      <c r="J160" s="181">
        <f t="shared" si="62"/>
        <v>1.067937664253769</v>
      </c>
      <c r="K160" s="170">
        <f>H160-G160</f>
        <v>9331</v>
      </c>
      <c r="L160" s="170">
        <f t="shared" si="64"/>
        <v>46325</v>
      </c>
      <c r="M160" s="171">
        <f t="shared" si="66"/>
        <v>2.4864491666488344E-3</v>
      </c>
      <c r="N160" s="81"/>
    </row>
    <row r="161" spans="2:16" ht="6" customHeight="1" x14ac:dyDescent="0.25">
      <c r="B161" s="172"/>
      <c r="C161" s="172"/>
      <c r="D161" s="172"/>
      <c r="E161" s="172"/>
      <c r="F161" s="172"/>
      <c r="G161" s="172"/>
      <c r="H161" s="172"/>
      <c r="I161" s="172"/>
      <c r="J161" s="172"/>
      <c r="K161" s="172"/>
      <c r="L161" s="172"/>
      <c r="M161" s="172"/>
      <c r="N161" s="172"/>
      <c r="O161" s="172"/>
      <c r="P161" s="172"/>
    </row>
    <row r="162" spans="2:16" x14ac:dyDescent="0.25">
      <c r="B162" s="107" t="s">
        <v>57</v>
      </c>
      <c r="C162" s="107"/>
      <c r="D162" s="107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</row>
  </sheetData>
  <mergeCells count="1">
    <mergeCell ref="B4:M4"/>
  </mergeCells>
  <pageMargins left="0.25" right="0.25" top="0.75" bottom="0.75" header="0.3" footer="0.3"/>
  <pageSetup paperSize="9" scale="20" orientation="landscape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1B0C9-9933-4C0A-A52D-93E2D8BF08F8}">
  <sheetPr>
    <tabColor theme="3" tint="0.39997558519241921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018292-F4ED-4F32-9567-54C16CB14622}">
  <sheetPr>
    <tabColor theme="8" tint="0.59999389629810485"/>
  </sheetPr>
  <dimension ref="B1:P220"/>
  <sheetViews>
    <sheetView showGridLines="0" zoomScaleNormal="100" workbookViewId="0"/>
  </sheetViews>
  <sheetFormatPr baseColWidth="10" defaultColWidth="11.42578125" defaultRowHeight="15" x14ac:dyDescent="0.25"/>
  <cols>
    <col min="2" max="2" width="11.42578125" customWidth="1"/>
    <col min="3" max="3" width="16.85546875" customWidth="1"/>
    <col min="4" max="4" width="26.85546875" customWidth="1"/>
    <col min="5" max="5" width="11.5703125" customWidth="1"/>
  </cols>
  <sheetData>
    <row r="1" spans="2:16" x14ac:dyDescent="0.25">
      <c r="D1" s="297" t="s">
        <v>42</v>
      </c>
      <c r="E1" s="297"/>
      <c r="F1" s="297"/>
      <c r="G1" s="297"/>
      <c r="H1" s="297"/>
      <c r="I1" s="297"/>
      <c r="J1" s="297"/>
      <c r="K1" s="297"/>
      <c r="L1" s="297"/>
    </row>
    <row r="2" spans="2:16" x14ac:dyDescent="0.25">
      <c r="D2" s="297"/>
      <c r="E2" s="297"/>
      <c r="F2" s="297"/>
      <c r="G2" s="297"/>
      <c r="H2" s="297"/>
      <c r="I2" s="297"/>
      <c r="J2" s="297"/>
      <c r="K2" s="297"/>
      <c r="L2" s="297"/>
    </row>
    <row r="4" spans="2:16" ht="21.75" customHeight="1" thickBot="1" x14ac:dyDescent="0.3">
      <c r="C4" s="66" t="s">
        <v>43</v>
      </c>
      <c r="D4" s="66"/>
      <c r="E4" s="66"/>
      <c r="F4" s="66"/>
      <c r="G4" s="66"/>
      <c r="H4" s="66"/>
      <c r="I4" s="66"/>
      <c r="J4" s="66"/>
      <c r="K4" s="66"/>
      <c r="L4" s="66"/>
    </row>
    <row r="5" spans="2:16" ht="7.5" customHeight="1" thickBot="1" x14ac:dyDescent="0.3">
      <c r="B5" s="4"/>
      <c r="C5" s="4"/>
      <c r="D5" s="4"/>
      <c r="E5" s="4"/>
      <c r="F5" s="4"/>
      <c r="G5" s="4"/>
      <c r="H5" s="4"/>
      <c r="I5" s="4"/>
      <c r="J5" s="4"/>
      <c r="K5" s="4"/>
      <c r="L5" s="4"/>
    </row>
    <row r="6" spans="2:16" ht="30" x14ac:dyDescent="0.25">
      <c r="B6" s="4"/>
      <c r="C6" s="4"/>
      <c r="D6" s="4"/>
      <c r="E6" s="13" t="s">
        <v>224</v>
      </c>
      <c r="F6" s="13" t="s">
        <v>225</v>
      </c>
      <c r="G6" s="13" t="s">
        <v>226</v>
      </c>
      <c r="H6" s="13" t="s">
        <v>227</v>
      </c>
      <c r="I6" s="13" t="s">
        <v>228</v>
      </c>
      <c r="J6" s="14" t="str">
        <f>CONCATENATE("var. ",RIGHT(I6,2),"/",RIGHT(H6,2))</f>
        <v>var. 25/24</v>
      </c>
      <c r="K6" s="14" t="str">
        <f>CONCATENATE("dif. ",RIGHT(I6,2),"/",RIGHT(H6,2))</f>
        <v>dif. 25/24</v>
      </c>
      <c r="L6" s="14" t="str">
        <f>CONCATENATE("cuota ",I6)</f>
        <v>cuota junio 2025</v>
      </c>
    </row>
    <row r="7" spans="2:16" ht="15" customHeight="1" x14ac:dyDescent="0.25">
      <c r="B7" s="279" t="s">
        <v>44</v>
      </c>
      <c r="C7" s="282" t="s">
        <v>8</v>
      </c>
      <c r="D7" s="67" t="s">
        <v>45</v>
      </c>
      <c r="E7" s="68">
        <v>142483</v>
      </c>
      <c r="F7" s="68">
        <v>381871</v>
      </c>
      <c r="G7" s="68">
        <v>431303</v>
      </c>
      <c r="H7" s="68">
        <v>446421</v>
      </c>
      <c r="I7" s="68">
        <v>437805</v>
      </c>
      <c r="J7" s="69">
        <f>I7/H7-1</f>
        <v>-1.9300167330837947E-2</v>
      </c>
      <c r="K7" s="68">
        <f>I7-H7</f>
        <v>-8616</v>
      </c>
      <c r="L7" s="69">
        <f>I7/$I$7</f>
        <v>1</v>
      </c>
      <c r="P7" s="70"/>
    </row>
    <row r="8" spans="2:16" ht="15" customHeight="1" x14ac:dyDescent="0.25">
      <c r="B8" s="280"/>
      <c r="C8" s="283"/>
      <c r="D8" s="15" t="s">
        <v>46</v>
      </c>
      <c r="E8" s="16">
        <v>53539</v>
      </c>
      <c r="F8" s="16">
        <v>144989</v>
      </c>
      <c r="G8" s="16">
        <v>157350</v>
      </c>
      <c r="H8" s="16">
        <v>157065</v>
      </c>
      <c r="I8" s="16">
        <v>145993</v>
      </c>
      <c r="J8" s="17">
        <f t="shared" ref="J8:J63" si="0">I8/H8-1</f>
        <v>-7.0493107948938372E-2</v>
      </c>
      <c r="K8" s="16">
        <f t="shared" ref="K8:K50" si="1">I8-H8</f>
        <v>-11072</v>
      </c>
      <c r="L8" s="18">
        <f t="shared" ref="L8:L17" si="2">I8/$I$7</f>
        <v>0.33346581240506618</v>
      </c>
      <c r="P8" s="70"/>
    </row>
    <row r="9" spans="2:16" x14ac:dyDescent="0.25">
      <c r="B9" s="280"/>
      <c r="C9" s="283"/>
      <c r="D9" s="19" t="s">
        <v>47</v>
      </c>
      <c r="E9" s="20">
        <v>21147</v>
      </c>
      <c r="F9" s="20">
        <v>99145</v>
      </c>
      <c r="G9" s="20">
        <v>109784</v>
      </c>
      <c r="H9" s="20">
        <v>113390</v>
      </c>
      <c r="I9" s="20">
        <v>117164</v>
      </c>
      <c r="J9" s="62">
        <f t="shared" si="0"/>
        <v>3.3283358320839618E-2</v>
      </c>
      <c r="K9" s="20">
        <f t="shared" si="1"/>
        <v>3774</v>
      </c>
      <c r="L9" s="63">
        <f t="shared" si="2"/>
        <v>0.2676168613880609</v>
      </c>
      <c r="P9" s="70"/>
    </row>
    <row r="10" spans="2:16" x14ac:dyDescent="0.25">
      <c r="B10" s="280"/>
      <c r="C10" s="283"/>
      <c r="D10" s="19" t="s">
        <v>48</v>
      </c>
      <c r="E10" s="20">
        <v>1595</v>
      </c>
      <c r="F10" s="20">
        <v>2523</v>
      </c>
      <c r="G10" s="20">
        <v>3080</v>
      </c>
      <c r="H10" s="20">
        <v>2377</v>
      </c>
      <c r="I10" s="20">
        <v>3338</v>
      </c>
      <c r="J10" s="62">
        <f t="shared" si="0"/>
        <v>0.40429112326461936</v>
      </c>
      <c r="K10" s="20">
        <f t="shared" si="1"/>
        <v>961</v>
      </c>
      <c r="L10" s="63">
        <f t="shared" si="2"/>
        <v>7.6243989904181087E-3</v>
      </c>
      <c r="P10" s="70"/>
    </row>
    <row r="11" spans="2:16" x14ac:dyDescent="0.25">
      <c r="B11" s="280"/>
      <c r="C11" s="283"/>
      <c r="D11" s="19" t="s">
        <v>49</v>
      </c>
      <c r="E11" s="20">
        <v>3302</v>
      </c>
      <c r="F11" s="20">
        <v>10420</v>
      </c>
      <c r="G11" s="20">
        <v>14934</v>
      </c>
      <c r="H11" s="20">
        <v>16055</v>
      </c>
      <c r="I11" s="20">
        <v>16193</v>
      </c>
      <c r="J11" s="62">
        <f t="shared" si="0"/>
        <v>8.595453129865982E-3</v>
      </c>
      <c r="K11" s="20">
        <f t="shared" si="1"/>
        <v>138</v>
      </c>
      <c r="L11" s="63">
        <f t="shared" si="2"/>
        <v>3.6986786354655611E-2</v>
      </c>
      <c r="P11" s="70"/>
    </row>
    <row r="12" spans="2:16" x14ac:dyDescent="0.25">
      <c r="B12" s="280"/>
      <c r="C12" s="283"/>
      <c r="D12" s="19" t="s">
        <v>50</v>
      </c>
      <c r="E12" s="20">
        <v>25023</v>
      </c>
      <c r="F12" s="20">
        <v>63207</v>
      </c>
      <c r="G12" s="20">
        <v>71344</v>
      </c>
      <c r="H12" s="20">
        <v>83393</v>
      </c>
      <c r="I12" s="20">
        <v>77257</v>
      </c>
      <c r="J12" s="62">
        <f t="shared" si="0"/>
        <v>-7.3579317208878448E-2</v>
      </c>
      <c r="K12" s="20">
        <f t="shared" si="1"/>
        <v>-6136</v>
      </c>
      <c r="L12" s="63">
        <f t="shared" si="2"/>
        <v>0.17646440767008142</v>
      </c>
      <c r="P12" s="70"/>
    </row>
    <row r="13" spans="2:16" x14ac:dyDescent="0.25">
      <c r="B13" s="280"/>
      <c r="C13" s="283"/>
      <c r="D13" s="19" t="s">
        <v>51</v>
      </c>
      <c r="E13" s="20">
        <v>2494</v>
      </c>
      <c r="F13" s="20">
        <v>4520</v>
      </c>
      <c r="G13" s="20">
        <v>4181</v>
      </c>
      <c r="H13" s="20">
        <v>3964</v>
      </c>
      <c r="I13" s="20">
        <v>4119</v>
      </c>
      <c r="J13" s="62">
        <f t="shared" si="0"/>
        <v>3.9101917255297769E-2</v>
      </c>
      <c r="K13" s="20">
        <f t="shared" si="1"/>
        <v>155</v>
      </c>
      <c r="L13" s="63">
        <f t="shared" si="2"/>
        <v>9.4082982149587147E-3</v>
      </c>
      <c r="P13" s="70"/>
    </row>
    <row r="14" spans="2:16" x14ac:dyDescent="0.25">
      <c r="B14" s="280"/>
      <c r="C14" s="283"/>
      <c r="D14" s="19" t="s">
        <v>52</v>
      </c>
      <c r="E14" s="20">
        <v>12758</v>
      </c>
      <c r="F14" s="20">
        <v>13606</v>
      </c>
      <c r="G14" s="20">
        <v>22097</v>
      </c>
      <c r="H14" s="20">
        <v>19721</v>
      </c>
      <c r="I14" s="20">
        <v>20354</v>
      </c>
      <c r="J14" s="62">
        <f t="shared" si="0"/>
        <v>3.2097763805080781E-2</v>
      </c>
      <c r="K14" s="20">
        <f t="shared" si="1"/>
        <v>633</v>
      </c>
      <c r="L14" s="63">
        <f t="shared" si="2"/>
        <v>4.6491017690524321E-2</v>
      </c>
      <c r="P14" s="70"/>
    </row>
    <row r="15" spans="2:16" x14ac:dyDescent="0.25">
      <c r="B15" s="280"/>
      <c r="C15" s="283"/>
      <c r="D15" s="19" t="s">
        <v>53</v>
      </c>
      <c r="E15" s="20">
        <v>13541</v>
      </c>
      <c r="F15" s="20">
        <v>17608</v>
      </c>
      <c r="G15" s="20">
        <v>17983</v>
      </c>
      <c r="H15" s="20">
        <v>19479</v>
      </c>
      <c r="I15" s="20">
        <v>20873</v>
      </c>
      <c r="J15" s="62">
        <f t="shared" si="0"/>
        <v>7.1564248678063658E-2</v>
      </c>
      <c r="K15" s="20">
        <f t="shared" si="1"/>
        <v>1394</v>
      </c>
      <c r="L15" s="63">
        <f t="shared" si="2"/>
        <v>4.7676476970340678E-2</v>
      </c>
      <c r="P15" s="70"/>
    </row>
    <row r="16" spans="2:16" x14ac:dyDescent="0.25">
      <c r="B16" s="280"/>
      <c r="C16" s="283"/>
      <c r="D16" s="19" t="s">
        <v>54</v>
      </c>
      <c r="E16" s="20">
        <v>3802</v>
      </c>
      <c r="F16" s="20">
        <v>18886</v>
      </c>
      <c r="G16" s="20">
        <v>21065</v>
      </c>
      <c r="H16" s="20">
        <v>22841</v>
      </c>
      <c r="I16" s="20">
        <v>23159</v>
      </c>
      <c r="J16" s="62">
        <f t="shared" si="0"/>
        <v>1.3922332647432256E-2</v>
      </c>
      <c r="K16" s="20">
        <f t="shared" si="1"/>
        <v>318</v>
      </c>
      <c r="L16" s="63">
        <f t="shared" si="2"/>
        <v>5.2897979694156071E-2</v>
      </c>
      <c r="P16" s="70"/>
    </row>
    <row r="17" spans="2:16" x14ac:dyDescent="0.25">
      <c r="B17" s="280"/>
      <c r="C17" s="284"/>
      <c r="D17" s="23" t="s">
        <v>55</v>
      </c>
      <c r="E17" s="71">
        <v>5282</v>
      </c>
      <c r="F17" s="71">
        <v>6967</v>
      </c>
      <c r="G17" s="71">
        <v>9485</v>
      </c>
      <c r="H17" s="71">
        <v>8136</v>
      </c>
      <c r="I17" s="71">
        <v>9355</v>
      </c>
      <c r="J17" s="25">
        <f t="shared" si="0"/>
        <v>0.14982792527040312</v>
      </c>
      <c r="K17" s="71">
        <f t="shared" si="1"/>
        <v>1219</v>
      </c>
      <c r="L17" s="47">
        <f t="shared" si="2"/>
        <v>2.1367960621737989E-2</v>
      </c>
      <c r="P17" s="70"/>
    </row>
    <row r="18" spans="2:16" x14ac:dyDescent="0.25">
      <c r="B18" s="280"/>
      <c r="C18" s="285" t="s">
        <v>18</v>
      </c>
      <c r="D18" s="67" t="s">
        <v>45</v>
      </c>
      <c r="E18" s="68">
        <v>154087</v>
      </c>
      <c r="F18" s="68">
        <v>447309</v>
      </c>
      <c r="G18" s="68">
        <v>500292</v>
      </c>
      <c r="H18" s="68">
        <v>521775</v>
      </c>
      <c r="I18" s="68">
        <v>509699</v>
      </c>
      <c r="J18" s="69">
        <f t="shared" si="0"/>
        <v>-2.3144075511475237E-2</v>
      </c>
      <c r="K18" s="68">
        <f t="shared" si="1"/>
        <v>-12076</v>
      </c>
      <c r="L18" s="69">
        <f t="shared" ref="L18:L19" si="3">I18/$I$18</f>
        <v>1</v>
      </c>
    </row>
    <row r="19" spans="2:16" x14ac:dyDescent="0.25">
      <c r="B19" s="280"/>
      <c r="C19" s="286"/>
      <c r="D19" s="26" t="s">
        <v>46</v>
      </c>
      <c r="E19" s="27">
        <v>58548</v>
      </c>
      <c r="F19" s="27">
        <v>175095</v>
      </c>
      <c r="G19" s="27">
        <v>187749</v>
      </c>
      <c r="H19" s="27">
        <v>186497</v>
      </c>
      <c r="I19" s="27">
        <v>173896</v>
      </c>
      <c r="J19" s="28">
        <f t="shared" si="0"/>
        <v>-6.7566770511053753E-2</v>
      </c>
      <c r="K19" s="27">
        <f t="shared" si="1"/>
        <v>-12601</v>
      </c>
      <c r="L19" s="18">
        <f t="shared" si="3"/>
        <v>0.34117390852248092</v>
      </c>
    </row>
    <row r="20" spans="2:16" x14ac:dyDescent="0.25">
      <c r="B20" s="280"/>
      <c r="C20" s="286"/>
      <c r="D20" s="4" t="s">
        <v>47</v>
      </c>
      <c r="E20" s="29">
        <v>22984</v>
      </c>
      <c r="F20" s="29">
        <v>115840</v>
      </c>
      <c r="G20" s="29">
        <v>128682</v>
      </c>
      <c r="H20" s="29">
        <v>134353</v>
      </c>
      <c r="I20" s="29">
        <v>139166</v>
      </c>
      <c r="J20" s="72">
        <f t="shared" si="0"/>
        <v>3.5823539481812938E-2</v>
      </c>
      <c r="K20" s="29">
        <f t="shared" si="1"/>
        <v>4813</v>
      </c>
      <c r="L20" s="63">
        <f>I20/$I$18</f>
        <v>0.27303565437640648</v>
      </c>
    </row>
    <row r="21" spans="2:16" x14ac:dyDescent="0.25">
      <c r="B21" s="280"/>
      <c r="C21" s="286"/>
      <c r="D21" s="4" t="s">
        <v>48</v>
      </c>
      <c r="E21" s="29">
        <v>1691</v>
      </c>
      <c r="F21" s="29">
        <v>2772</v>
      </c>
      <c r="G21" s="29">
        <v>3279</v>
      </c>
      <c r="H21" s="29">
        <v>2702</v>
      </c>
      <c r="I21" s="29">
        <v>3626</v>
      </c>
      <c r="J21" s="72">
        <f t="shared" si="0"/>
        <v>0.34196891191709855</v>
      </c>
      <c r="K21" s="29">
        <f t="shared" si="1"/>
        <v>924</v>
      </c>
      <c r="L21" s="63">
        <f t="shared" ref="L21:L28" si="4">I21/$I$18</f>
        <v>7.1140025779921094E-3</v>
      </c>
    </row>
    <row r="22" spans="2:16" x14ac:dyDescent="0.25">
      <c r="B22" s="280"/>
      <c r="C22" s="286"/>
      <c r="D22" s="4" t="s">
        <v>49</v>
      </c>
      <c r="E22" s="29">
        <v>3642</v>
      </c>
      <c r="F22" s="29">
        <v>12239</v>
      </c>
      <c r="G22" s="29">
        <v>16696</v>
      </c>
      <c r="H22" s="29">
        <v>18571</v>
      </c>
      <c r="I22" s="29">
        <v>18511</v>
      </c>
      <c r="J22" s="72">
        <f t="shared" si="0"/>
        <v>-3.230843788702864E-3</v>
      </c>
      <c r="K22" s="29">
        <f t="shared" si="1"/>
        <v>-60</v>
      </c>
      <c r="L22" s="63">
        <f t="shared" si="4"/>
        <v>3.6317512885055692E-2</v>
      </c>
    </row>
    <row r="23" spans="2:16" x14ac:dyDescent="0.25">
      <c r="B23" s="280"/>
      <c r="C23" s="286"/>
      <c r="D23" s="4" t="s">
        <v>50</v>
      </c>
      <c r="E23" s="29">
        <v>27009</v>
      </c>
      <c r="F23" s="29">
        <v>71256</v>
      </c>
      <c r="G23" s="29">
        <v>79915</v>
      </c>
      <c r="H23" s="29">
        <v>95487</v>
      </c>
      <c r="I23" s="29">
        <v>87271</v>
      </c>
      <c r="J23" s="72">
        <f t="shared" si="0"/>
        <v>-8.6043126289442551E-2</v>
      </c>
      <c r="K23" s="29">
        <f t="shared" si="1"/>
        <v>-8216</v>
      </c>
      <c r="L23" s="63">
        <f t="shared" si="4"/>
        <v>0.17122066160616364</v>
      </c>
    </row>
    <row r="24" spans="2:16" x14ac:dyDescent="0.25">
      <c r="B24" s="280"/>
      <c r="C24" s="286"/>
      <c r="D24" s="4" t="s">
        <v>51</v>
      </c>
      <c r="E24" s="29">
        <v>2578</v>
      </c>
      <c r="F24" s="29">
        <v>4491</v>
      </c>
      <c r="G24" s="29">
        <v>4369</v>
      </c>
      <c r="H24" s="29">
        <v>4153</v>
      </c>
      <c r="I24" s="29">
        <v>4247</v>
      </c>
      <c r="J24" s="72">
        <f t="shared" si="0"/>
        <v>2.2634240308210929E-2</v>
      </c>
      <c r="K24" s="29">
        <f t="shared" si="1"/>
        <v>94</v>
      </c>
      <c r="L24" s="63">
        <f t="shared" si="4"/>
        <v>8.332368711729864E-3</v>
      </c>
    </row>
    <row r="25" spans="2:16" x14ac:dyDescent="0.25">
      <c r="B25" s="280"/>
      <c r="C25" s="286"/>
      <c r="D25" s="4" t="s">
        <v>52</v>
      </c>
      <c r="E25" s="29">
        <v>13872</v>
      </c>
      <c r="F25" s="29">
        <v>16290</v>
      </c>
      <c r="G25" s="29">
        <v>24851</v>
      </c>
      <c r="H25" s="29">
        <v>23158</v>
      </c>
      <c r="I25" s="29">
        <v>23497</v>
      </c>
      <c r="J25" s="72">
        <f t="shared" si="0"/>
        <v>1.4638569824682701E-2</v>
      </c>
      <c r="K25" s="29">
        <f t="shared" si="1"/>
        <v>339</v>
      </c>
      <c r="L25" s="63">
        <f t="shared" si="4"/>
        <v>4.6099756915355929E-2</v>
      </c>
    </row>
    <row r="26" spans="2:16" x14ac:dyDescent="0.25">
      <c r="B26" s="280"/>
      <c r="C26" s="286"/>
      <c r="D26" s="4" t="s">
        <v>53</v>
      </c>
      <c r="E26" s="29">
        <v>13942</v>
      </c>
      <c r="F26" s="29">
        <v>18300</v>
      </c>
      <c r="G26" s="29">
        <v>18588</v>
      </c>
      <c r="H26" s="29">
        <v>20189</v>
      </c>
      <c r="I26" s="29">
        <v>21402</v>
      </c>
      <c r="J26" s="72">
        <f t="shared" si="0"/>
        <v>6.0082222992718703E-2</v>
      </c>
      <c r="K26" s="29">
        <f t="shared" si="1"/>
        <v>1213</v>
      </c>
      <c r="L26" s="63">
        <f t="shared" si="4"/>
        <v>4.1989487913454804E-2</v>
      </c>
    </row>
    <row r="27" spans="2:16" x14ac:dyDescent="0.25">
      <c r="B27" s="280"/>
      <c r="C27" s="286"/>
      <c r="D27" s="4" t="s">
        <v>54</v>
      </c>
      <c r="E27" s="29">
        <v>4233</v>
      </c>
      <c r="F27" s="29">
        <v>22878</v>
      </c>
      <c r="G27" s="29">
        <v>25226</v>
      </c>
      <c r="H27" s="29">
        <v>27463</v>
      </c>
      <c r="I27" s="29">
        <v>27371</v>
      </c>
      <c r="J27" s="30">
        <f t="shared" si="0"/>
        <v>-3.3499617667407389E-3</v>
      </c>
      <c r="K27" s="29">
        <f t="shared" si="1"/>
        <v>-92</v>
      </c>
      <c r="L27" s="31">
        <f t="shared" si="4"/>
        <v>5.37003211699454E-2</v>
      </c>
    </row>
    <row r="28" spans="2:16" x14ac:dyDescent="0.25">
      <c r="B28" s="280"/>
      <c r="C28" s="287"/>
      <c r="D28" s="32" t="s">
        <v>55</v>
      </c>
      <c r="E28" s="73">
        <v>5588</v>
      </c>
      <c r="F28" s="73">
        <v>8148</v>
      </c>
      <c r="G28" s="73">
        <v>10937</v>
      </c>
      <c r="H28" s="73">
        <v>9202</v>
      </c>
      <c r="I28" s="73">
        <v>10712</v>
      </c>
      <c r="J28" s="34">
        <f t="shared" si="0"/>
        <v>0.16409476200825912</v>
      </c>
      <c r="K28" s="73">
        <f t="shared" si="1"/>
        <v>1510</v>
      </c>
      <c r="L28" s="74">
        <f t="shared" si="4"/>
        <v>2.1016325321415188E-2</v>
      </c>
    </row>
    <row r="29" spans="2:16" x14ac:dyDescent="0.25">
      <c r="B29" s="280"/>
      <c r="C29" s="282" t="s">
        <v>21</v>
      </c>
      <c r="D29" s="67" t="s">
        <v>45</v>
      </c>
      <c r="E29" s="68">
        <v>653021</v>
      </c>
      <c r="F29" s="68">
        <v>2454749</v>
      </c>
      <c r="G29" s="68">
        <v>2670685</v>
      </c>
      <c r="H29" s="68">
        <v>2787401</v>
      </c>
      <c r="I29" s="68">
        <v>2736656</v>
      </c>
      <c r="J29" s="69">
        <f t="shared" si="0"/>
        <v>-1.8205130872809505E-2</v>
      </c>
      <c r="K29" s="68">
        <f t="shared" si="1"/>
        <v>-50745</v>
      </c>
      <c r="L29" s="69">
        <f t="shared" ref="L29:L30" si="5">I29/$I$29</f>
        <v>1</v>
      </c>
    </row>
    <row r="30" spans="2:16" x14ac:dyDescent="0.25">
      <c r="B30" s="280"/>
      <c r="C30" s="283"/>
      <c r="D30" s="15" t="s">
        <v>46</v>
      </c>
      <c r="E30" s="16">
        <v>274949</v>
      </c>
      <c r="F30" s="16">
        <v>1029864</v>
      </c>
      <c r="G30" s="16">
        <v>1069466</v>
      </c>
      <c r="H30" s="16">
        <v>1059592</v>
      </c>
      <c r="I30" s="16">
        <v>1003656</v>
      </c>
      <c r="J30" s="17">
        <f t="shared" si="0"/>
        <v>-5.2790130540811941E-2</v>
      </c>
      <c r="K30" s="16">
        <f t="shared" si="1"/>
        <v>-55936</v>
      </c>
      <c r="L30" s="18">
        <f t="shared" si="5"/>
        <v>0.36674540022567687</v>
      </c>
    </row>
    <row r="31" spans="2:16" x14ac:dyDescent="0.25">
      <c r="B31" s="280"/>
      <c r="C31" s="283"/>
      <c r="D31" s="19" t="s">
        <v>47</v>
      </c>
      <c r="E31" s="20">
        <v>113899</v>
      </c>
      <c r="F31" s="20">
        <v>672943</v>
      </c>
      <c r="G31" s="20">
        <v>758024</v>
      </c>
      <c r="H31" s="20">
        <v>787690</v>
      </c>
      <c r="I31" s="20">
        <v>808867</v>
      </c>
      <c r="J31" s="62">
        <f>I31/H31-1</f>
        <v>2.6884942045728666E-2</v>
      </c>
      <c r="K31" s="20">
        <f t="shared" si="1"/>
        <v>21177</v>
      </c>
      <c r="L31" s="63">
        <f>I31/$I$29</f>
        <v>0.29556765629293563</v>
      </c>
    </row>
    <row r="32" spans="2:16" x14ac:dyDescent="0.25">
      <c r="B32" s="280"/>
      <c r="C32" s="283"/>
      <c r="D32" s="19" t="s">
        <v>48</v>
      </c>
      <c r="E32" s="20">
        <v>5772</v>
      </c>
      <c r="F32" s="20">
        <v>11814</v>
      </c>
      <c r="G32" s="20">
        <v>11134</v>
      </c>
      <c r="H32" s="20">
        <v>12283</v>
      </c>
      <c r="I32" s="20">
        <v>17483</v>
      </c>
      <c r="J32" s="62">
        <f t="shared" ref="J32:J41" si="6">I32/H32-1</f>
        <v>0.42334934462264928</v>
      </c>
      <c r="K32" s="20">
        <f t="shared" si="1"/>
        <v>5200</v>
      </c>
      <c r="L32" s="63">
        <f t="shared" ref="L32:L39" si="7">I32/$I$29</f>
        <v>6.3884536456171323E-3</v>
      </c>
    </row>
    <row r="33" spans="2:12" x14ac:dyDescent="0.25">
      <c r="B33" s="280"/>
      <c r="C33" s="283"/>
      <c r="D33" s="19" t="s">
        <v>49</v>
      </c>
      <c r="E33" s="20">
        <v>14068</v>
      </c>
      <c r="F33" s="20">
        <v>50889</v>
      </c>
      <c r="G33" s="20">
        <v>61354</v>
      </c>
      <c r="H33" s="20">
        <v>78527</v>
      </c>
      <c r="I33" s="20">
        <v>92544</v>
      </c>
      <c r="J33" s="62">
        <f t="shared" si="6"/>
        <v>0.17849911495409221</v>
      </c>
      <c r="K33" s="20">
        <f t="shared" si="1"/>
        <v>14017</v>
      </c>
      <c r="L33" s="63">
        <f t="shared" si="7"/>
        <v>3.3816453364982665E-2</v>
      </c>
    </row>
    <row r="34" spans="2:12" x14ac:dyDescent="0.25">
      <c r="B34" s="280"/>
      <c r="C34" s="283"/>
      <c r="D34" s="19" t="s">
        <v>50</v>
      </c>
      <c r="E34" s="20">
        <v>110623</v>
      </c>
      <c r="F34" s="20">
        <v>364068</v>
      </c>
      <c r="G34" s="20">
        <v>393768</v>
      </c>
      <c r="H34" s="20">
        <v>460449</v>
      </c>
      <c r="I34" s="20">
        <v>430081</v>
      </c>
      <c r="J34" s="62">
        <f t="shared" si="6"/>
        <v>-6.5953015426246986E-2</v>
      </c>
      <c r="K34" s="20">
        <f t="shared" si="1"/>
        <v>-30368</v>
      </c>
      <c r="L34" s="63">
        <f t="shared" si="7"/>
        <v>0.1571556673546109</v>
      </c>
    </row>
    <row r="35" spans="2:12" x14ac:dyDescent="0.25">
      <c r="B35" s="280"/>
      <c r="C35" s="283"/>
      <c r="D35" s="19" t="s">
        <v>51</v>
      </c>
      <c r="E35" s="20">
        <v>5487</v>
      </c>
      <c r="F35" s="20">
        <v>11277</v>
      </c>
      <c r="G35" s="20">
        <v>10373</v>
      </c>
      <c r="H35" s="20">
        <v>10115</v>
      </c>
      <c r="I35" s="20">
        <v>11658</v>
      </c>
      <c r="J35" s="62">
        <f t="shared" si="6"/>
        <v>0.15254572417202183</v>
      </c>
      <c r="K35" s="20">
        <f t="shared" si="1"/>
        <v>1543</v>
      </c>
      <c r="L35" s="63">
        <f t="shared" si="7"/>
        <v>4.2599435223133631E-3</v>
      </c>
    </row>
    <row r="36" spans="2:12" x14ac:dyDescent="0.25">
      <c r="B36" s="280"/>
      <c r="C36" s="283"/>
      <c r="D36" s="19" t="s">
        <v>52</v>
      </c>
      <c r="E36" s="20">
        <v>64992</v>
      </c>
      <c r="F36" s="20">
        <v>93083</v>
      </c>
      <c r="G36" s="20">
        <v>128219</v>
      </c>
      <c r="H36" s="20">
        <v>124929</v>
      </c>
      <c r="I36" s="20">
        <v>121111</v>
      </c>
      <c r="J36" s="62">
        <f t="shared" si="6"/>
        <v>-3.0561358851827869E-2</v>
      </c>
      <c r="K36" s="20">
        <f t="shared" si="1"/>
        <v>-3818</v>
      </c>
      <c r="L36" s="63">
        <f t="shared" si="7"/>
        <v>4.4255105501020221E-2</v>
      </c>
    </row>
    <row r="37" spans="2:12" x14ac:dyDescent="0.25">
      <c r="B37" s="280"/>
      <c r="C37" s="283"/>
      <c r="D37" s="19" t="s">
        <v>53</v>
      </c>
      <c r="E37" s="20">
        <v>26795</v>
      </c>
      <c r="F37" s="20">
        <v>40470</v>
      </c>
      <c r="G37" s="20">
        <v>38639</v>
      </c>
      <c r="H37" s="20">
        <v>40074</v>
      </c>
      <c r="I37" s="20">
        <v>42497</v>
      </c>
      <c r="J37" s="62">
        <f t="shared" si="6"/>
        <v>6.0463143185107482E-2</v>
      </c>
      <c r="K37" s="20">
        <f t="shared" si="1"/>
        <v>2423</v>
      </c>
      <c r="L37" s="63">
        <f t="shared" si="7"/>
        <v>1.5528805958805198E-2</v>
      </c>
    </row>
    <row r="38" spans="2:12" x14ac:dyDescent="0.25">
      <c r="B38" s="280"/>
      <c r="C38" s="283"/>
      <c r="D38" s="19" t="s">
        <v>54</v>
      </c>
      <c r="E38" s="20">
        <v>18794</v>
      </c>
      <c r="F38" s="20">
        <v>132220</v>
      </c>
      <c r="G38" s="20">
        <v>142289</v>
      </c>
      <c r="H38" s="20">
        <v>157113</v>
      </c>
      <c r="I38" s="20">
        <v>156124</v>
      </c>
      <c r="J38" s="21">
        <f t="shared" si="6"/>
        <v>-6.2948323817888507E-3</v>
      </c>
      <c r="K38" s="20">
        <f t="shared" si="1"/>
        <v>-989</v>
      </c>
      <c r="L38" s="22">
        <f t="shared" si="7"/>
        <v>5.704918703702621E-2</v>
      </c>
    </row>
    <row r="39" spans="2:12" x14ac:dyDescent="0.25">
      <c r="B39" s="280"/>
      <c r="C39" s="284"/>
      <c r="D39" s="23" t="s">
        <v>55</v>
      </c>
      <c r="E39" s="71">
        <v>17642</v>
      </c>
      <c r="F39" s="71">
        <v>48121</v>
      </c>
      <c r="G39" s="71">
        <v>57419</v>
      </c>
      <c r="H39" s="71">
        <v>56629</v>
      </c>
      <c r="I39" s="71">
        <v>52635</v>
      </c>
      <c r="J39" s="25">
        <f t="shared" si="6"/>
        <v>-7.0529234137985841E-2</v>
      </c>
      <c r="K39" s="71">
        <f t="shared" si="1"/>
        <v>-3994</v>
      </c>
      <c r="L39" s="47">
        <f t="shared" si="7"/>
        <v>1.9233327097011827E-2</v>
      </c>
    </row>
    <row r="40" spans="2:12" x14ac:dyDescent="0.25">
      <c r="B40" s="280"/>
      <c r="C40" s="298" t="s">
        <v>22</v>
      </c>
      <c r="D40" s="67" t="s">
        <v>45</v>
      </c>
      <c r="E40" s="75">
        <v>4.5831502705585931</v>
      </c>
      <c r="F40" s="75">
        <v>6.4282152873614384</v>
      </c>
      <c r="G40" s="75">
        <v>6.1921317496052657</v>
      </c>
      <c r="H40" s="75">
        <v>6.2438841362749509</v>
      </c>
      <c r="I40" s="75">
        <v>6.2508559746919294</v>
      </c>
      <c r="J40" s="69">
        <f t="shared" si="6"/>
        <v>1.1165867695197562E-3</v>
      </c>
      <c r="K40" s="75">
        <f t="shared" si="1"/>
        <v>6.9718384169785708E-3</v>
      </c>
      <c r="L40" s="69"/>
    </row>
    <row r="41" spans="2:12" x14ac:dyDescent="0.25">
      <c r="B41" s="280"/>
      <c r="C41" s="299"/>
      <c r="D41" s="26" t="s">
        <v>46</v>
      </c>
      <c r="E41" s="35">
        <v>5.1354900166233959</v>
      </c>
      <c r="F41" s="35">
        <v>7.103049196835622</v>
      </c>
      <c r="G41" s="35">
        <v>6.7967333968859229</v>
      </c>
      <c r="H41" s="35">
        <v>6.746200617578709</v>
      </c>
      <c r="I41" s="35">
        <v>6.8746857726055355</v>
      </c>
      <c r="J41" s="36">
        <f t="shared" si="6"/>
        <v>1.9045557982967587E-2</v>
      </c>
      <c r="K41" s="37">
        <f t="shared" si="1"/>
        <v>0.12848515502682645</v>
      </c>
      <c r="L41" s="38"/>
    </row>
    <row r="42" spans="2:12" x14ac:dyDescent="0.25">
      <c r="B42" s="280"/>
      <c r="C42" s="299"/>
      <c r="D42" s="4" t="s">
        <v>47</v>
      </c>
      <c r="E42" s="39">
        <v>5.3860594883435002</v>
      </c>
      <c r="F42" s="39">
        <v>6.7874628069998488</v>
      </c>
      <c r="G42" s="39">
        <v>6.9046855643809666</v>
      </c>
      <c r="H42" s="39">
        <v>6.9467325160948938</v>
      </c>
      <c r="I42" s="39">
        <v>6.9037161585469944</v>
      </c>
      <c r="J42" s="76">
        <f t="shared" si="0"/>
        <v>-6.1923152285243699E-3</v>
      </c>
      <c r="K42" s="41">
        <f t="shared" si="1"/>
        <v>-4.3016357547899453E-2</v>
      </c>
      <c r="L42" s="77"/>
    </row>
    <row r="43" spans="2:12" x14ac:dyDescent="0.25">
      <c r="B43" s="280"/>
      <c r="C43" s="299"/>
      <c r="D43" s="4" t="s">
        <v>48</v>
      </c>
      <c r="E43" s="39">
        <v>3.618808777429467</v>
      </c>
      <c r="F43" s="39">
        <v>4.6825208085612369</v>
      </c>
      <c r="G43" s="39">
        <v>3.6149350649350649</v>
      </c>
      <c r="H43" s="39">
        <v>5.1674379469920071</v>
      </c>
      <c r="I43" s="39">
        <v>5.2375674056321149</v>
      </c>
      <c r="J43" s="76">
        <f t="shared" si="0"/>
        <v>1.3571417665679153E-2</v>
      </c>
      <c r="K43" s="41">
        <f t="shared" si="1"/>
        <v>7.0129458640107778E-2</v>
      </c>
      <c r="L43" s="77"/>
    </row>
    <row r="44" spans="2:12" x14ac:dyDescent="0.25">
      <c r="B44" s="280"/>
      <c r="C44" s="299"/>
      <c r="D44" s="4" t="s">
        <v>49</v>
      </c>
      <c r="E44" s="39">
        <v>4.2604482132041186</v>
      </c>
      <c r="F44" s="39">
        <v>4.8837811900191941</v>
      </c>
      <c r="G44" s="39">
        <v>4.1083433775277891</v>
      </c>
      <c r="H44" s="39">
        <v>4.8911242603550296</v>
      </c>
      <c r="I44" s="39">
        <v>5.7150620638547522</v>
      </c>
      <c r="J44" s="76">
        <f t="shared" si="0"/>
        <v>0.16845570867584447</v>
      </c>
      <c r="K44" s="41">
        <f t="shared" si="1"/>
        <v>0.82393780349972268</v>
      </c>
      <c r="L44" s="77"/>
    </row>
    <row r="45" spans="2:12" x14ac:dyDescent="0.25">
      <c r="B45" s="280"/>
      <c r="C45" s="299"/>
      <c r="D45" s="4" t="s">
        <v>50</v>
      </c>
      <c r="E45" s="39">
        <v>4.4208528154098232</v>
      </c>
      <c r="F45" s="39">
        <v>5.7599316531396836</v>
      </c>
      <c r="G45" s="39">
        <v>5.5192868356133662</v>
      </c>
      <c r="H45" s="39">
        <v>5.5214346527886038</v>
      </c>
      <c r="I45" s="39">
        <v>5.5668871429126163</v>
      </c>
      <c r="J45" s="76">
        <f t="shared" si="0"/>
        <v>8.2320072557693358E-3</v>
      </c>
      <c r="K45" s="41">
        <f t="shared" si="1"/>
        <v>4.5452490124012535E-2</v>
      </c>
      <c r="L45" s="77"/>
    </row>
    <row r="46" spans="2:12" x14ac:dyDescent="0.25">
      <c r="B46" s="280"/>
      <c r="C46" s="299"/>
      <c r="D46" s="4" t="s">
        <v>51</v>
      </c>
      <c r="E46" s="39">
        <v>2.2000801924619084</v>
      </c>
      <c r="F46" s="39">
        <v>2.4949115044247789</v>
      </c>
      <c r="G46" s="39">
        <v>2.4809854101889499</v>
      </c>
      <c r="H46" s="39">
        <v>2.5517154389505552</v>
      </c>
      <c r="I46" s="39">
        <v>2.8302986161689732</v>
      </c>
      <c r="J46" s="76">
        <f t="shared" si="0"/>
        <v>0.10917486055302117</v>
      </c>
      <c r="K46" s="41">
        <f t="shared" si="1"/>
        <v>0.27858317721841797</v>
      </c>
      <c r="L46" s="77"/>
    </row>
    <row r="47" spans="2:12" x14ac:dyDescent="0.25">
      <c r="B47" s="280"/>
      <c r="C47" s="299"/>
      <c r="D47" s="4" t="s">
        <v>52</v>
      </c>
      <c r="E47" s="39">
        <v>5.0942153942624238</v>
      </c>
      <c r="F47" s="39">
        <v>6.8413200058797585</v>
      </c>
      <c r="G47" s="39">
        <v>5.8025523826763816</v>
      </c>
      <c r="H47" s="39">
        <v>6.334820749454896</v>
      </c>
      <c r="I47" s="39">
        <v>5.9502309128426845</v>
      </c>
      <c r="J47" s="76">
        <f t="shared" si="0"/>
        <v>-6.0710452879871202E-2</v>
      </c>
      <c r="K47" s="41">
        <f t="shared" si="1"/>
        <v>-0.38458983661221158</v>
      </c>
      <c r="L47" s="77"/>
    </row>
    <row r="48" spans="2:12" x14ac:dyDescent="0.25">
      <c r="B48" s="280"/>
      <c r="C48" s="299"/>
      <c r="D48" s="4" t="s">
        <v>53</v>
      </c>
      <c r="E48" s="39">
        <v>1.9788051104054354</v>
      </c>
      <c r="F48" s="39">
        <v>2.2983870967741935</v>
      </c>
      <c r="G48" s="39">
        <v>2.1486403825835509</v>
      </c>
      <c r="H48" s="39">
        <v>2.0572924688125673</v>
      </c>
      <c r="I48" s="39">
        <v>2.0359794950414409</v>
      </c>
      <c r="J48" s="76">
        <f t="shared" si="0"/>
        <v>-1.0359719920341681E-2</v>
      </c>
      <c r="K48" s="41">
        <f t="shared" si="1"/>
        <v>-2.1312973771126398E-2</v>
      </c>
      <c r="L48" s="77"/>
    </row>
    <row r="49" spans="2:12" x14ac:dyDescent="0.25">
      <c r="B49" s="280"/>
      <c r="C49" s="299"/>
      <c r="D49" s="4" t="s">
        <v>54</v>
      </c>
      <c r="E49" s="39">
        <v>4.9431877958968959</v>
      </c>
      <c r="F49" s="39">
        <v>7.000953086942709</v>
      </c>
      <c r="G49" s="39">
        <v>6.7547590790410634</v>
      </c>
      <c r="H49" s="39">
        <v>6.8785517271573049</v>
      </c>
      <c r="I49" s="39">
        <v>6.7413964333520449</v>
      </c>
      <c r="J49" s="40">
        <f t="shared" si="0"/>
        <v>-1.9939559844226462E-2</v>
      </c>
      <c r="K49" s="41">
        <f t="shared" si="1"/>
        <v>-0.13715529380526004</v>
      </c>
      <c r="L49" s="42"/>
    </row>
    <row r="50" spans="2:12" x14ac:dyDescent="0.25">
      <c r="B50" s="280"/>
      <c r="C50" s="300"/>
      <c r="D50" s="32" t="s">
        <v>55</v>
      </c>
      <c r="E50" s="78">
        <v>3.3400227186671714</v>
      </c>
      <c r="F50" s="78">
        <v>6.9069900961676476</v>
      </c>
      <c r="G50" s="78">
        <v>6.0536636794939378</v>
      </c>
      <c r="H50" s="78">
        <v>6.9602999016715827</v>
      </c>
      <c r="I50" s="78">
        <v>5.626402993051844</v>
      </c>
      <c r="J50" s="65">
        <f t="shared" si="0"/>
        <v>-0.19164359689435084</v>
      </c>
      <c r="K50" s="79">
        <f t="shared" si="1"/>
        <v>-1.3338969086197388</v>
      </c>
      <c r="L50" s="56"/>
    </row>
    <row r="51" spans="2:12" x14ac:dyDescent="0.25">
      <c r="B51" s="280"/>
      <c r="C51" s="288" t="s">
        <v>36</v>
      </c>
      <c r="D51" s="67" t="s">
        <v>45</v>
      </c>
      <c r="E51" s="69">
        <v>0.2873</v>
      </c>
      <c r="F51" s="69">
        <v>0.65620000000000001</v>
      </c>
      <c r="G51" s="69">
        <v>17.344899999999999</v>
      </c>
      <c r="H51" s="69">
        <v>17.998200000000001</v>
      </c>
      <c r="I51" s="69">
        <v>18.194000000000003</v>
      </c>
      <c r="J51" s="69">
        <f t="shared" si="0"/>
        <v>1.0878865664344373E-2</v>
      </c>
      <c r="K51" s="75">
        <f t="shared" ref="K51" si="8">(I51-H51)*100</f>
        <v>19.580000000000197</v>
      </c>
      <c r="L51" s="69"/>
    </row>
    <row r="52" spans="2:12" x14ac:dyDescent="0.25">
      <c r="B52" s="280"/>
      <c r="C52" s="289"/>
      <c r="D52" s="15" t="s">
        <v>46</v>
      </c>
      <c r="E52" s="18">
        <v>0.3044</v>
      </c>
      <c r="F52" s="18">
        <v>0.76419999999999999</v>
      </c>
      <c r="G52" s="18">
        <v>0.77629999999999999</v>
      </c>
      <c r="H52" s="18">
        <v>0.76719999999999999</v>
      </c>
      <c r="I52" s="18">
        <v>0.7611</v>
      </c>
      <c r="J52" s="17">
        <f t="shared" si="0"/>
        <v>-7.950990615224196E-3</v>
      </c>
      <c r="K52" s="44">
        <f>(I52-H52)*100</f>
        <v>-0.60999999999999943</v>
      </c>
      <c r="L52" s="18"/>
    </row>
    <row r="53" spans="2:12" x14ac:dyDescent="0.25">
      <c r="B53" s="280"/>
      <c r="C53" s="289"/>
      <c r="D53" s="19" t="s">
        <v>47</v>
      </c>
      <c r="E53" s="63">
        <v>0.18729999999999999</v>
      </c>
      <c r="F53" s="63">
        <v>0.5746</v>
      </c>
      <c r="G53" s="63">
        <v>0.68279999999999996</v>
      </c>
      <c r="H53" s="63">
        <v>0.7095999999999999</v>
      </c>
      <c r="I53" s="63">
        <v>0.72840000000000005</v>
      </c>
      <c r="J53" s="62">
        <f t="shared" si="0"/>
        <v>2.6493799323562772E-2</v>
      </c>
      <c r="K53" s="46">
        <f t="shared" ref="K53:K61" si="9">(I53-H53)*100</f>
        <v>1.880000000000015</v>
      </c>
      <c r="L53" s="63"/>
    </row>
    <row r="54" spans="2:12" x14ac:dyDescent="0.25">
      <c r="B54" s="280"/>
      <c r="C54" s="289"/>
      <c r="D54" s="19" t="s">
        <v>48</v>
      </c>
      <c r="E54" s="63">
        <v>0.23989999999999997</v>
      </c>
      <c r="F54" s="63">
        <v>0.46659999999999996</v>
      </c>
      <c r="G54" s="63">
        <v>0.40689999999999998</v>
      </c>
      <c r="H54" s="63">
        <v>0.53659999999999997</v>
      </c>
      <c r="I54" s="63">
        <v>0.63619999999999999</v>
      </c>
      <c r="J54" s="62">
        <f t="shared" si="0"/>
        <v>0.18561311964219174</v>
      </c>
      <c r="K54" s="46">
        <f t="shared" si="9"/>
        <v>9.9600000000000026</v>
      </c>
      <c r="L54" s="63"/>
    </row>
    <row r="55" spans="2:12" x14ac:dyDescent="0.25">
      <c r="B55" s="280"/>
      <c r="C55" s="289"/>
      <c r="D55" s="19" t="s">
        <v>49</v>
      </c>
      <c r="E55" s="63">
        <v>0.12839999999999999</v>
      </c>
      <c r="F55" s="63">
        <v>0.37180000000000002</v>
      </c>
      <c r="G55" s="63">
        <v>0.4783</v>
      </c>
      <c r="H55" s="63">
        <v>0.60770000000000002</v>
      </c>
      <c r="I55" s="63">
        <v>0.66830000000000001</v>
      </c>
      <c r="J55" s="62">
        <f t="shared" si="0"/>
        <v>9.9720256705611243E-2</v>
      </c>
      <c r="K55" s="46">
        <f t="shared" si="9"/>
        <v>6.0599999999999987</v>
      </c>
      <c r="L55" s="63"/>
    </row>
    <row r="56" spans="2:12" x14ac:dyDescent="0.25">
      <c r="B56" s="280"/>
      <c r="C56" s="289"/>
      <c r="D56" s="19" t="s">
        <v>50</v>
      </c>
      <c r="E56" s="63">
        <v>0.3962</v>
      </c>
      <c r="F56" s="63">
        <v>0.66049999999999998</v>
      </c>
      <c r="G56" s="63">
        <v>0.70200000000000007</v>
      </c>
      <c r="H56" s="63">
        <v>0.76209999999999989</v>
      </c>
      <c r="I56" s="63">
        <v>0.73019999999999996</v>
      </c>
      <c r="J56" s="62">
        <f t="shared" si="0"/>
        <v>-4.1858023881380269E-2</v>
      </c>
      <c r="K56" s="46">
        <f t="shared" si="9"/>
        <v>-3.1899999999999928</v>
      </c>
      <c r="L56" s="63"/>
    </row>
    <row r="57" spans="2:12" x14ac:dyDescent="0.25">
      <c r="B57" s="280"/>
      <c r="C57" s="289"/>
      <c r="D57" s="19" t="s">
        <v>51</v>
      </c>
      <c r="E57" s="63">
        <v>0.39329999999999998</v>
      </c>
      <c r="F57" s="63">
        <v>0.56700000000000006</v>
      </c>
      <c r="G57" s="63">
        <v>0.52149999999999996</v>
      </c>
      <c r="H57" s="63">
        <v>0.501</v>
      </c>
      <c r="I57" s="63">
        <v>0.57740000000000002</v>
      </c>
      <c r="J57" s="62">
        <f t="shared" si="0"/>
        <v>0.15249500998003995</v>
      </c>
      <c r="K57" s="46">
        <f t="shared" si="9"/>
        <v>7.6400000000000023</v>
      </c>
      <c r="L57" s="63"/>
    </row>
    <row r="58" spans="2:12" x14ac:dyDescent="0.25">
      <c r="B58" s="280"/>
      <c r="C58" s="289"/>
      <c r="D58" s="19" t="s">
        <v>52</v>
      </c>
      <c r="E58" s="63">
        <v>0.73840000000000006</v>
      </c>
      <c r="F58" s="63">
        <v>0.75730000000000008</v>
      </c>
      <c r="G58" s="63">
        <v>0.89209999999999989</v>
      </c>
      <c r="H58" s="63">
        <v>0.86809999999999998</v>
      </c>
      <c r="I58" s="63">
        <v>0.87670000000000003</v>
      </c>
      <c r="J58" s="62">
        <f t="shared" si="0"/>
        <v>9.9066927773299174E-3</v>
      </c>
      <c r="K58" s="46">
        <f t="shared" si="9"/>
        <v>0.8600000000000052</v>
      </c>
      <c r="L58" s="63"/>
    </row>
    <row r="59" spans="2:12" x14ac:dyDescent="0.25">
      <c r="B59" s="280"/>
      <c r="C59" s="289"/>
      <c r="D59" s="19" t="s">
        <v>53</v>
      </c>
      <c r="E59" s="63">
        <v>0.37560000000000004</v>
      </c>
      <c r="F59" s="63">
        <v>0.49780000000000002</v>
      </c>
      <c r="G59" s="63">
        <v>0.47020000000000001</v>
      </c>
      <c r="H59" s="63">
        <v>0.48170000000000002</v>
      </c>
      <c r="I59" s="63">
        <v>0.52880000000000005</v>
      </c>
      <c r="J59" s="62">
        <f t="shared" si="0"/>
        <v>9.7778700435956045E-2</v>
      </c>
      <c r="K59" s="46">
        <f t="shared" si="9"/>
        <v>4.7100000000000026</v>
      </c>
      <c r="L59" s="63"/>
    </row>
    <row r="60" spans="2:12" x14ac:dyDescent="0.25">
      <c r="B60" s="280"/>
      <c r="C60" s="289"/>
      <c r="D60" s="19" t="s">
        <v>54</v>
      </c>
      <c r="E60" s="22">
        <v>0.20440000000000003</v>
      </c>
      <c r="F60" s="22">
        <v>0.6873999999999999</v>
      </c>
      <c r="G60" s="22">
        <v>0.76780000000000004</v>
      </c>
      <c r="H60" s="22">
        <v>0.81640000000000001</v>
      </c>
      <c r="I60" s="22">
        <v>0.80099999999999993</v>
      </c>
      <c r="J60" s="21">
        <f t="shared" si="0"/>
        <v>-1.8863302302792873E-2</v>
      </c>
      <c r="K60" s="46">
        <f t="shared" si="9"/>
        <v>-1.540000000000008</v>
      </c>
      <c r="L60" s="22"/>
    </row>
    <row r="61" spans="2:12" x14ac:dyDescent="0.25">
      <c r="B61" s="280"/>
      <c r="C61" s="290"/>
      <c r="D61" s="23" t="s">
        <v>55</v>
      </c>
      <c r="E61" s="47">
        <v>0.21149999999999999</v>
      </c>
      <c r="F61" s="47">
        <v>0.52159999999999995</v>
      </c>
      <c r="G61" s="47">
        <v>0.62939999999999996</v>
      </c>
      <c r="H61" s="47">
        <v>0.6119</v>
      </c>
      <c r="I61" s="47">
        <v>0.56359999999999999</v>
      </c>
      <c r="J61" s="25">
        <f t="shared" si="0"/>
        <v>-7.8934466416081039E-2</v>
      </c>
      <c r="K61" s="80">
        <f t="shared" si="9"/>
        <v>-4.830000000000001</v>
      </c>
      <c r="L61" s="47"/>
    </row>
    <row r="62" spans="2:12" x14ac:dyDescent="0.25">
      <c r="B62" s="280"/>
      <c r="C62" s="291" t="s">
        <v>56</v>
      </c>
      <c r="D62" s="67" t="s">
        <v>45</v>
      </c>
      <c r="E62" s="68">
        <v>75767</v>
      </c>
      <c r="F62" s="68">
        <v>124698</v>
      </c>
      <c r="G62" s="68">
        <v>124223</v>
      </c>
      <c r="H62" s="68">
        <v>125992</v>
      </c>
      <c r="I62" s="68">
        <v>123702</v>
      </c>
      <c r="J62" s="69">
        <f t="shared" si="0"/>
        <v>-1.8175757190932784E-2</v>
      </c>
      <c r="K62" s="68">
        <f t="shared" ref="K62:K63" si="10">I62-H62</f>
        <v>-2290</v>
      </c>
      <c r="L62" s="69">
        <f t="shared" ref="L62:L63" si="11">I62/$I$62</f>
        <v>1</v>
      </c>
    </row>
    <row r="63" spans="2:12" x14ac:dyDescent="0.25">
      <c r="B63" s="280"/>
      <c r="C63" s="292"/>
      <c r="D63" s="26" t="s">
        <v>46</v>
      </c>
      <c r="E63" s="27">
        <v>30111</v>
      </c>
      <c r="F63" s="27">
        <v>44921</v>
      </c>
      <c r="G63" s="27">
        <v>45920</v>
      </c>
      <c r="H63" s="27">
        <v>46039</v>
      </c>
      <c r="I63" s="27">
        <v>43954</v>
      </c>
      <c r="J63" s="36">
        <f t="shared" si="0"/>
        <v>-4.5287690870783437E-2</v>
      </c>
      <c r="K63" s="27">
        <f t="shared" si="10"/>
        <v>-2085</v>
      </c>
      <c r="L63" s="38">
        <f t="shared" si="11"/>
        <v>0.35532166011867228</v>
      </c>
    </row>
    <row r="64" spans="2:12" x14ac:dyDescent="0.25">
      <c r="B64" s="280"/>
      <c r="C64" s="292"/>
      <c r="D64" s="4" t="s">
        <v>47</v>
      </c>
      <c r="E64" s="29">
        <v>20273</v>
      </c>
      <c r="F64" s="29">
        <v>39041</v>
      </c>
      <c r="G64" s="29">
        <v>37006</v>
      </c>
      <c r="H64" s="29">
        <v>37000</v>
      </c>
      <c r="I64" s="29">
        <v>37015</v>
      </c>
      <c r="J64" s="76">
        <f>I64/H64-1</f>
        <v>4.0540540540545678E-4</v>
      </c>
      <c r="K64" s="29">
        <f>I64-H64</f>
        <v>15</v>
      </c>
      <c r="L64" s="77">
        <f>I64/$I$62</f>
        <v>0.2992271749850447</v>
      </c>
    </row>
    <row r="65" spans="2:12" x14ac:dyDescent="0.25">
      <c r="B65" s="280"/>
      <c r="C65" s="292"/>
      <c r="D65" s="4" t="s">
        <v>48</v>
      </c>
      <c r="E65" s="29">
        <v>802</v>
      </c>
      <c r="F65" s="29">
        <v>844</v>
      </c>
      <c r="G65" s="29">
        <v>912</v>
      </c>
      <c r="H65" s="29">
        <v>763</v>
      </c>
      <c r="I65" s="29">
        <v>916</v>
      </c>
      <c r="J65" s="76">
        <f t="shared" ref="J65:J72" si="12">I65/H65-1</f>
        <v>0.20052424639580613</v>
      </c>
      <c r="K65" s="29">
        <f t="shared" ref="K65:K72" si="13">I65-H65</f>
        <v>153</v>
      </c>
      <c r="L65" s="77">
        <f t="shared" ref="L65:L72" si="14">I65/$I$62</f>
        <v>7.4048924027097377E-3</v>
      </c>
    </row>
    <row r="66" spans="2:12" x14ac:dyDescent="0.25">
      <c r="B66" s="280"/>
      <c r="C66" s="292"/>
      <c r="D66" s="4" t="s">
        <v>49</v>
      </c>
      <c r="E66" s="29">
        <v>3652</v>
      </c>
      <c r="F66" s="29">
        <v>4562</v>
      </c>
      <c r="G66" s="29">
        <v>4276</v>
      </c>
      <c r="H66" s="29">
        <v>4307</v>
      </c>
      <c r="I66" s="29">
        <v>4616</v>
      </c>
      <c r="J66" s="76">
        <f t="shared" si="12"/>
        <v>7.1743673090318039E-2</v>
      </c>
      <c r="K66" s="29">
        <f t="shared" si="13"/>
        <v>309</v>
      </c>
      <c r="L66" s="77">
        <f t="shared" si="14"/>
        <v>3.7315483985707588E-2</v>
      </c>
    </row>
    <row r="67" spans="2:12" x14ac:dyDescent="0.25">
      <c r="B67" s="280"/>
      <c r="C67" s="292"/>
      <c r="D67" s="4" t="s">
        <v>50</v>
      </c>
      <c r="E67" s="29">
        <v>9306</v>
      </c>
      <c r="F67" s="29">
        <v>18373</v>
      </c>
      <c r="G67" s="29">
        <v>18698</v>
      </c>
      <c r="H67" s="29">
        <v>20140</v>
      </c>
      <c r="I67" s="29">
        <v>19634</v>
      </c>
      <c r="J67" s="76">
        <f t="shared" si="12"/>
        <v>-2.5124131082423062E-2</v>
      </c>
      <c r="K67" s="29">
        <f t="shared" si="13"/>
        <v>-506</v>
      </c>
      <c r="L67" s="77">
        <f t="shared" si="14"/>
        <v>0.15872015003799453</v>
      </c>
    </row>
    <row r="68" spans="2:12" x14ac:dyDescent="0.25">
      <c r="B68" s="280"/>
      <c r="C68" s="292"/>
      <c r="D68" s="4" t="s">
        <v>51</v>
      </c>
      <c r="E68" s="29">
        <v>465</v>
      </c>
      <c r="F68" s="29">
        <v>663</v>
      </c>
      <c r="G68" s="29">
        <v>663</v>
      </c>
      <c r="H68" s="29">
        <v>673</v>
      </c>
      <c r="I68" s="29">
        <v>673</v>
      </c>
      <c r="J68" s="76">
        <f t="shared" si="12"/>
        <v>0</v>
      </c>
      <c r="K68" s="29">
        <f t="shared" si="13"/>
        <v>0</v>
      </c>
      <c r="L68" s="77">
        <f t="shared" si="14"/>
        <v>5.4404940906371763E-3</v>
      </c>
    </row>
    <row r="69" spans="2:12" x14ac:dyDescent="0.25">
      <c r="B69" s="280"/>
      <c r="C69" s="292"/>
      <c r="D69" s="4" t="s">
        <v>52</v>
      </c>
      <c r="E69" s="29">
        <v>2934</v>
      </c>
      <c r="F69" s="29">
        <v>4097</v>
      </c>
      <c r="G69" s="29">
        <v>4791</v>
      </c>
      <c r="H69" s="29">
        <v>4797</v>
      </c>
      <c r="I69" s="29">
        <v>4605</v>
      </c>
      <c r="J69" s="76">
        <f t="shared" si="12"/>
        <v>-4.0025015634771788E-2</v>
      </c>
      <c r="K69" s="29">
        <f t="shared" si="13"/>
        <v>-192</v>
      </c>
      <c r="L69" s="77">
        <f t="shared" si="14"/>
        <v>3.7226560605325705E-2</v>
      </c>
    </row>
    <row r="70" spans="2:12" x14ac:dyDescent="0.25">
      <c r="B70" s="280"/>
      <c r="C70" s="292"/>
      <c r="D70" s="4" t="s">
        <v>53</v>
      </c>
      <c r="E70" s="29">
        <v>2378</v>
      </c>
      <c r="F70" s="29">
        <v>2710</v>
      </c>
      <c r="G70" s="29">
        <v>2739</v>
      </c>
      <c r="H70" s="29">
        <v>2773</v>
      </c>
      <c r="I70" s="29">
        <v>2679</v>
      </c>
      <c r="J70" s="76">
        <f t="shared" si="12"/>
        <v>-3.3898305084745783E-2</v>
      </c>
      <c r="K70" s="29">
        <f t="shared" si="13"/>
        <v>-94</v>
      </c>
      <c r="L70" s="77">
        <f t="shared" si="14"/>
        <v>2.1656885094824659E-2</v>
      </c>
    </row>
    <row r="71" spans="2:12" x14ac:dyDescent="0.25">
      <c r="B71" s="280"/>
      <c r="C71" s="292"/>
      <c r="D71" s="4" t="s">
        <v>54</v>
      </c>
      <c r="E71" s="29">
        <v>3065</v>
      </c>
      <c r="F71" s="29">
        <v>6412</v>
      </c>
      <c r="G71" s="29">
        <v>6177</v>
      </c>
      <c r="H71" s="29">
        <v>6415</v>
      </c>
      <c r="I71" s="29">
        <v>6497</v>
      </c>
      <c r="J71" s="40">
        <f t="shared" si="12"/>
        <v>1.278254091971931E-2</v>
      </c>
      <c r="K71" s="29">
        <f t="shared" si="13"/>
        <v>82</v>
      </c>
      <c r="L71" s="42">
        <f t="shared" si="14"/>
        <v>5.2521382031010005E-2</v>
      </c>
    </row>
    <row r="72" spans="2:12" x14ac:dyDescent="0.25">
      <c r="B72" s="281"/>
      <c r="C72" s="293"/>
      <c r="D72" s="32" t="s">
        <v>55</v>
      </c>
      <c r="E72" s="73">
        <v>2781</v>
      </c>
      <c r="F72" s="73">
        <v>3075</v>
      </c>
      <c r="G72" s="73">
        <v>3041</v>
      </c>
      <c r="H72" s="73">
        <v>3085</v>
      </c>
      <c r="I72" s="73">
        <v>3113</v>
      </c>
      <c r="J72" s="65">
        <f t="shared" si="12"/>
        <v>9.0761750405186081E-3</v>
      </c>
      <c r="K72" s="73">
        <f t="shared" si="13"/>
        <v>28</v>
      </c>
      <c r="L72" s="56">
        <f t="shared" si="14"/>
        <v>2.5165316648073595E-2</v>
      </c>
    </row>
    <row r="73" spans="2:12" ht="7.5" customHeight="1" x14ac:dyDescent="0.25">
      <c r="B73" s="294"/>
      <c r="C73" s="294"/>
      <c r="D73" s="294"/>
      <c r="E73" s="294"/>
      <c r="F73" s="294"/>
      <c r="G73" s="294"/>
      <c r="H73" s="294"/>
      <c r="I73" s="294"/>
      <c r="J73" s="294"/>
      <c r="K73" s="294"/>
      <c r="L73" s="48"/>
    </row>
    <row r="74" spans="2:12" x14ac:dyDescent="0.25">
      <c r="B74" s="296" t="s">
        <v>57</v>
      </c>
      <c r="C74" s="296"/>
      <c r="D74" s="296"/>
      <c r="E74" s="296"/>
      <c r="F74" s="296"/>
      <c r="G74" s="296"/>
      <c r="H74" s="296"/>
      <c r="I74" s="296"/>
      <c r="J74" s="296"/>
      <c r="K74" s="296"/>
    </row>
    <row r="76" spans="2:12" x14ac:dyDescent="0.25">
      <c r="B76" s="57"/>
    </row>
    <row r="77" spans="2:12" ht="21.75" customHeight="1" thickBot="1" x14ac:dyDescent="0.3">
      <c r="B77" s="278" t="s">
        <v>58</v>
      </c>
      <c r="C77" s="278"/>
      <c r="D77" s="278"/>
      <c r="E77" s="278"/>
      <c r="F77" s="278"/>
      <c r="G77" s="278"/>
      <c r="H77" s="278"/>
      <c r="I77" s="278"/>
      <c r="J77" s="278"/>
      <c r="K77" s="278"/>
      <c r="L77" s="12"/>
    </row>
    <row r="78" spans="2:12" ht="6" customHeight="1" thickBot="1" x14ac:dyDescent="0.3"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</row>
    <row r="79" spans="2:12" ht="60" x14ac:dyDescent="0.25">
      <c r="B79" s="4"/>
      <c r="C79" s="4"/>
      <c r="D79" s="4"/>
      <c r="E79" s="13" t="s">
        <v>230</v>
      </c>
      <c r="F79" s="13" t="s">
        <v>231</v>
      </c>
      <c r="G79" s="13" t="s">
        <v>232</v>
      </c>
      <c r="H79" s="13" t="s">
        <v>233</v>
      </c>
      <c r="I79" s="13" t="s">
        <v>234</v>
      </c>
      <c r="J79" s="14" t="str">
        <f>CONCATENATE("var. ",RIGHT(I79,2),"/",RIGHT(H79,2))</f>
        <v>var. 25/24</v>
      </c>
      <c r="K79" s="14" t="str">
        <f>CONCATENATE("dif. ",RIGHT(I79,2),"/",RIGHT(H79,2))</f>
        <v>dif. 25/24</v>
      </c>
      <c r="L79" s="14" t="str">
        <f>CONCATENATE("cuota ",I79)</f>
        <v>cuota acumulado a junio 2025</v>
      </c>
    </row>
    <row r="80" spans="2:12" ht="15" customHeight="1" x14ac:dyDescent="0.25">
      <c r="B80" s="279" t="s">
        <v>44</v>
      </c>
      <c r="C80" s="282" t="s">
        <v>8</v>
      </c>
      <c r="D80" s="67" t="s">
        <v>45</v>
      </c>
      <c r="E80" s="68">
        <v>520786</v>
      </c>
      <c r="F80" s="68">
        <v>2203401</v>
      </c>
      <c r="G80" s="68">
        <v>2523398</v>
      </c>
      <c r="H80" s="68">
        <v>2685619</v>
      </c>
      <c r="I80" s="68">
        <v>2666692</v>
      </c>
      <c r="J80" s="69">
        <f t="shared" ref="J80:J81" si="15">I80/H80-1</f>
        <v>-7.0475372716680695E-3</v>
      </c>
      <c r="K80" s="68">
        <f t="shared" ref="K80:K81" si="16">I80-H80</f>
        <v>-18927</v>
      </c>
      <c r="L80" s="69">
        <f t="shared" ref="L80:L81" si="17">I80/$I$80</f>
        <v>1</v>
      </c>
    </row>
    <row r="81" spans="2:13" ht="15" customHeight="1" x14ac:dyDescent="0.25">
      <c r="B81" s="280"/>
      <c r="C81" s="283"/>
      <c r="D81" s="15" t="s">
        <v>46</v>
      </c>
      <c r="E81" s="16">
        <v>187853</v>
      </c>
      <c r="F81" s="16">
        <v>828210</v>
      </c>
      <c r="G81" s="16">
        <v>916045</v>
      </c>
      <c r="H81" s="16">
        <v>958917</v>
      </c>
      <c r="I81" s="16">
        <v>917365</v>
      </c>
      <c r="J81" s="18">
        <f t="shared" si="15"/>
        <v>-4.3332217491190539E-2</v>
      </c>
      <c r="K81" s="16">
        <f t="shared" si="16"/>
        <v>-41552</v>
      </c>
      <c r="L81" s="18">
        <f t="shared" si="17"/>
        <v>0.34400860691823426</v>
      </c>
      <c r="M81" s="81"/>
    </row>
    <row r="82" spans="2:13" x14ac:dyDescent="0.25">
      <c r="B82" s="280"/>
      <c r="C82" s="283"/>
      <c r="D82" s="19" t="s">
        <v>47</v>
      </c>
      <c r="E82" s="20">
        <v>81359</v>
      </c>
      <c r="F82" s="20">
        <v>573119</v>
      </c>
      <c r="G82" s="20">
        <v>637900</v>
      </c>
      <c r="H82" s="20">
        <v>674898</v>
      </c>
      <c r="I82" s="20">
        <v>696244</v>
      </c>
      <c r="J82" s="63">
        <f>I82/H82-1</f>
        <v>3.1628483118930628E-2</v>
      </c>
      <c r="K82" s="20">
        <f>I82-H82</f>
        <v>21346</v>
      </c>
      <c r="L82" s="63">
        <f>I82/$I$80</f>
        <v>0.2610890196543133</v>
      </c>
      <c r="M82" s="81"/>
    </row>
    <row r="83" spans="2:13" x14ac:dyDescent="0.25">
      <c r="B83" s="280"/>
      <c r="C83" s="283"/>
      <c r="D83" s="19" t="s">
        <v>48</v>
      </c>
      <c r="E83" s="20">
        <v>5058</v>
      </c>
      <c r="F83" s="20">
        <v>16823</v>
      </c>
      <c r="G83" s="20">
        <v>27446</v>
      </c>
      <c r="H83" s="20">
        <v>23231</v>
      </c>
      <c r="I83" s="20">
        <v>21785</v>
      </c>
      <c r="J83" s="63">
        <f t="shared" ref="J83:J136" si="18">I83/H83-1</f>
        <v>-6.2244414790581515E-2</v>
      </c>
      <c r="K83" s="20">
        <f t="shared" ref="K83:K112" si="19">I83-H83</f>
        <v>-1446</v>
      </c>
      <c r="L83" s="63">
        <f t="shared" ref="L83:L90" si="20">I83/$I$80</f>
        <v>8.1692973916747784E-3</v>
      </c>
      <c r="M83" s="81"/>
    </row>
    <row r="84" spans="2:13" x14ac:dyDescent="0.25">
      <c r="B84" s="280"/>
      <c r="C84" s="283"/>
      <c r="D84" s="19" t="s">
        <v>49</v>
      </c>
      <c r="E84" s="20">
        <v>16999</v>
      </c>
      <c r="F84" s="20">
        <v>67366</v>
      </c>
      <c r="G84" s="20">
        <v>86656</v>
      </c>
      <c r="H84" s="20">
        <v>116855</v>
      </c>
      <c r="I84" s="20">
        <v>94193</v>
      </c>
      <c r="J84" s="63">
        <f t="shared" si="18"/>
        <v>-0.19393265157674044</v>
      </c>
      <c r="K84" s="20">
        <f t="shared" si="19"/>
        <v>-22662</v>
      </c>
      <c r="L84" s="63">
        <f t="shared" si="20"/>
        <v>3.5322039440625314E-2</v>
      </c>
      <c r="M84" s="81"/>
    </row>
    <row r="85" spans="2:13" x14ac:dyDescent="0.25">
      <c r="B85" s="280"/>
      <c r="C85" s="283"/>
      <c r="D85" s="19" t="s">
        <v>50</v>
      </c>
      <c r="E85" s="20">
        <v>70082</v>
      </c>
      <c r="F85" s="20">
        <v>321332</v>
      </c>
      <c r="G85" s="20">
        <v>378937</v>
      </c>
      <c r="H85" s="20">
        <v>434631</v>
      </c>
      <c r="I85" s="20">
        <v>443938</v>
      </c>
      <c r="J85" s="63">
        <f t="shared" si="18"/>
        <v>2.1413566910781778E-2</v>
      </c>
      <c r="K85" s="20">
        <f t="shared" si="19"/>
        <v>9307</v>
      </c>
      <c r="L85" s="63">
        <f t="shared" si="20"/>
        <v>0.16647516848589938</v>
      </c>
      <c r="M85" s="81"/>
    </row>
    <row r="86" spans="2:13" x14ac:dyDescent="0.25">
      <c r="B86" s="280"/>
      <c r="C86" s="283"/>
      <c r="D86" s="19" t="s">
        <v>51</v>
      </c>
      <c r="E86" s="20">
        <v>11802</v>
      </c>
      <c r="F86" s="20">
        <v>24671</v>
      </c>
      <c r="G86" s="20">
        <v>30683</v>
      </c>
      <c r="H86" s="20">
        <v>29198</v>
      </c>
      <c r="I86" s="20">
        <v>28272</v>
      </c>
      <c r="J86" s="63">
        <f t="shared" si="18"/>
        <v>-3.1714500993218708E-2</v>
      </c>
      <c r="K86" s="20">
        <f t="shared" si="19"/>
        <v>-926</v>
      </c>
      <c r="L86" s="63">
        <f t="shared" si="20"/>
        <v>1.0601899281956822E-2</v>
      </c>
      <c r="M86" s="81"/>
    </row>
    <row r="87" spans="2:13" x14ac:dyDescent="0.25">
      <c r="B87" s="280"/>
      <c r="C87" s="283"/>
      <c r="D87" s="19" t="s">
        <v>52</v>
      </c>
      <c r="E87" s="20">
        <v>32678</v>
      </c>
      <c r="F87" s="20">
        <v>92080</v>
      </c>
      <c r="G87" s="20">
        <v>126756</v>
      </c>
      <c r="H87" s="20">
        <v>118276</v>
      </c>
      <c r="I87" s="20">
        <v>128577</v>
      </c>
      <c r="J87" s="63">
        <f t="shared" si="18"/>
        <v>8.7092901349386187E-2</v>
      </c>
      <c r="K87" s="20">
        <f t="shared" si="19"/>
        <v>10301</v>
      </c>
      <c r="L87" s="63">
        <f t="shared" si="20"/>
        <v>4.8215916948788989E-2</v>
      </c>
      <c r="M87" s="81"/>
    </row>
    <row r="88" spans="2:13" x14ac:dyDescent="0.25">
      <c r="B88" s="280"/>
      <c r="C88" s="283"/>
      <c r="D88" s="19" t="s">
        <v>53</v>
      </c>
      <c r="E88" s="20">
        <v>58803</v>
      </c>
      <c r="F88" s="20">
        <v>104421</v>
      </c>
      <c r="G88" s="20">
        <v>126576</v>
      </c>
      <c r="H88" s="20">
        <v>125410</v>
      </c>
      <c r="I88" s="20">
        <v>140761</v>
      </c>
      <c r="J88" s="63">
        <f t="shared" si="18"/>
        <v>0.12240650665816122</v>
      </c>
      <c r="K88" s="20">
        <f t="shared" si="19"/>
        <v>15351</v>
      </c>
      <c r="L88" s="63">
        <f t="shared" si="20"/>
        <v>5.2784873543701337E-2</v>
      </c>
      <c r="M88" s="81"/>
    </row>
    <row r="89" spans="2:13" ht="18" customHeight="1" x14ac:dyDescent="0.25">
      <c r="B89" s="280"/>
      <c r="C89" s="283"/>
      <c r="D89" s="19" t="s">
        <v>54</v>
      </c>
      <c r="E89" s="20">
        <v>33859</v>
      </c>
      <c r="F89" s="20">
        <v>122526</v>
      </c>
      <c r="G89" s="20">
        <v>133361</v>
      </c>
      <c r="H89" s="20">
        <v>142422</v>
      </c>
      <c r="I89" s="20">
        <v>136065</v>
      </c>
      <c r="J89" s="22">
        <f t="shared" si="18"/>
        <v>-4.4634958082318765E-2</v>
      </c>
      <c r="K89" s="20">
        <f t="shared" si="19"/>
        <v>-6357</v>
      </c>
      <c r="L89" s="22">
        <f t="shared" si="20"/>
        <v>5.1023890273042403E-2</v>
      </c>
      <c r="M89" s="81"/>
    </row>
    <row r="90" spans="2:13" x14ac:dyDescent="0.25">
      <c r="B90" s="280"/>
      <c r="C90" s="284"/>
      <c r="D90" s="23" t="s">
        <v>55</v>
      </c>
      <c r="E90" s="71">
        <v>22293</v>
      </c>
      <c r="F90" s="71">
        <v>52853</v>
      </c>
      <c r="G90" s="71">
        <v>59038</v>
      </c>
      <c r="H90" s="71">
        <v>61781</v>
      </c>
      <c r="I90" s="71">
        <v>59492</v>
      </c>
      <c r="J90" s="47">
        <f t="shared" si="18"/>
        <v>-3.7050225797575331E-2</v>
      </c>
      <c r="K90" s="71">
        <f t="shared" si="19"/>
        <v>-2289</v>
      </c>
      <c r="L90" s="47">
        <f t="shared" si="20"/>
        <v>2.2309288061763414E-2</v>
      </c>
      <c r="M90" s="81"/>
    </row>
    <row r="91" spans="2:13" x14ac:dyDescent="0.25">
      <c r="B91" s="280"/>
      <c r="C91" s="285" t="s">
        <v>18</v>
      </c>
      <c r="D91" s="67" t="s">
        <v>45</v>
      </c>
      <c r="E91" s="68">
        <v>581695</v>
      </c>
      <c r="F91" s="68">
        <v>2601415</v>
      </c>
      <c r="G91" s="68">
        <v>2985674</v>
      </c>
      <c r="H91" s="68">
        <v>3185454</v>
      </c>
      <c r="I91" s="68">
        <v>3137076</v>
      </c>
      <c r="J91" s="69">
        <f t="shared" si="18"/>
        <v>-1.5187160134787714E-2</v>
      </c>
      <c r="K91" s="68">
        <f t="shared" si="19"/>
        <v>-48378</v>
      </c>
      <c r="L91" s="69">
        <f t="shared" ref="L91:L92" si="21">I91/$I$91</f>
        <v>1</v>
      </c>
    </row>
    <row r="92" spans="2:13" x14ac:dyDescent="0.25">
      <c r="B92" s="280"/>
      <c r="C92" s="286"/>
      <c r="D92" s="26" t="s">
        <v>46</v>
      </c>
      <c r="E92" s="27">
        <v>213521</v>
      </c>
      <c r="F92" s="27">
        <v>995985</v>
      </c>
      <c r="G92" s="27">
        <v>1104273</v>
      </c>
      <c r="H92" s="27">
        <v>1156836</v>
      </c>
      <c r="I92" s="27">
        <v>1098545</v>
      </c>
      <c r="J92" s="82">
        <f t="shared" si="18"/>
        <v>-5.0388300502404837E-2</v>
      </c>
      <c r="K92" s="27">
        <f t="shared" si="19"/>
        <v>-58291</v>
      </c>
      <c r="L92" s="38">
        <f t="shared" si="21"/>
        <v>0.35018118783223612</v>
      </c>
    </row>
    <row r="93" spans="2:13" x14ac:dyDescent="0.25">
      <c r="B93" s="280"/>
      <c r="C93" s="286"/>
      <c r="D93" s="4" t="s">
        <v>47</v>
      </c>
      <c r="E93" s="29">
        <v>93297</v>
      </c>
      <c r="F93" s="29">
        <v>684265</v>
      </c>
      <c r="G93" s="29">
        <v>769680</v>
      </c>
      <c r="H93" s="29">
        <v>813934</v>
      </c>
      <c r="I93" s="29">
        <v>831831</v>
      </c>
      <c r="J93" s="83">
        <f t="shared" si="18"/>
        <v>2.1988269319134002E-2</v>
      </c>
      <c r="K93" s="29">
        <f t="shared" si="19"/>
        <v>17897</v>
      </c>
      <c r="L93" s="77">
        <f>I93/$I$91</f>
        <v>0.26516125207039931</v>
      </c>
    </row>
    <row r="94" spans="2:13" x14ac:dyDescent="0.25">
      <c r="B94" s="280"/>
      <c r="C94" s="286"/>
      <c r="D94" s="4" t="s">
        <v>48</v>
      </c>
      <c r="E94" s="29">
        <v>5578</v>
      </c>
      <c r="F94" s="29">
        <v>18891</v>
      </c>
      <c r="G94" s="29">
        <v>29549</v>
      </c>
      <c r="H94" s="29">
        <v>25686</v>
      </c>
      <c r="I94" s="29">
        <v>24307</v>
      </c>
      <c r="J94" s="83">
        <f t="shared" si="18"/>
        <v>-5.3686833294401604E-2</v>
      </c>
      <c r="K94" s="29">
        <f t="shared" si="19"/>
        <v>-1379</v>
      </c>
      <c r="L94" s="77">
        <f t="shared" ref="L94:L101" si="22">I94/$I$91</f>
        <v>7.7482980966989646E-3</v>
      </c>
    </row>
    <row r="95" spans="2:13" x14ac:dyDescent="0.25">
      <c r="B95" s="280"/>
      <c r="C95" s="286"/>
      <c r="D95" s="4" t="s">
        <v>49</v>
      </c>
      <c r="E95" s="29">
        <v>21235</v>
      </c>
      <c r="F95" s="29">
        <v>78873</v>
      </c>
      <c r="G95" s="29">
        <v>101039</v>
      </c>
      <c r="H95" s="29">
        <v>136007</v>
      </c>
      <c r="I95" s="29">
        <v>108799</v>
      </c>
      <c r="J95" s="83">
        <f t="shared" si="18"/>
        <v>-0.20004852691405595</v>
      </c>
      <c r="K95" s="29">
        <f t="shared" si="19"/>
        <v>-27208</v>
      </c>
      <c r="L95" s="77">
        <f t="shared" si="22"/>
        <v>3.4681658971602858E-2</v>
      </c>
    </row>
    <row r="96" spans="2:13" x14ac:dyDescent="0.25">
      <c r="B96" s="280"/>
      <c r="C96" s="286"/>
      <c r="D96" s="4" t="s">
        <v>50</v>
      </c>
      <c r="E96" s="29">
        <v>76469</v>
      </c>
      <c r="F96" s="29">
        <v>372553</v>
      </c>
      <c r="G96" s="29">
        <v>443789</v>
      </c>
      <c r="H96" s="29">
        <v>509981</v>
      </c>
      <c r="I96" s="29">
        <v>517418</v>
      </c>
      <c r="J96" s="83">
        <f t="shared" si="18"/>
        <v>1.458289622554565E-2</v>
      </c>
      <c r="K96" s="29">
        <f t="shared" si="19"/>
        <v>7437</v>
      </c>
      <c r="L96" s="77">
        <f t="shared" si="22"/>
        <v>0.16493639299781071</v>
      </c>
    </row>
    <row r="97" spans="2:12" x14ac:dyDescent="0.25">
      <c r="B97" s="280"/>
      <c r="C97" s="286"/>
      <c r="D97" s="4" t="s">
        <v>51</v>
      </c>
      <c r="E97" s="29">
        <v>12246</v>
      </c>
      <c r="F97" s="29">
        <v>25844</v>
      </c>
      <c r="G97" s="29">
        <v>32224</v>
      </c>
      <c r="H97" s="29">
        <v>30825</v>
      </c>
      <c r="I97" s="29">
        <v>29839</v>
      </c>
      <c r="J97" s="83">
        <f t="shared" si="18"/>
        <v>-3.1987023519870261E-2</v>
      </c>
      <c r="K97" s="29">
        <f t="shared" si="19"/>
        <v>-986</v>
      </c>
      <c r="L97" s="77">
        <f t="shared" si="22"/>
        <v>9.5117236560414865E-3</v>
      </c>
    </row>
    <row r="98" spans="2:12" x14ac:dyDescent="0.25">
      <c r="B98" s="280"/>
      <c r="C98" s="286"/>
      <c r="D98" s="4" t="s">
        <v>52</v>
      </c>
      <c r="E98" s="29">
        <v>37596</v>
      </c>
      <c r="F98" s="29">
        <v>109438</v>
      </c>
      <c r="G98" s="29">
        <v>143430</v>
      </c>
      <c r="H98" s="29">
        <v>138078</v>
      </c>
      <c r="I98" s="29">
        <v>147104</v>
      </c>
      <c r="J98" s="83">
        <f t="shared" si="18"/>
        <v>6.536884949086752E-2</v>
      </c>
      <c r="K98" s="29">
        <f t="shared" si="19"/>
        <v>9026</v>
      </c>
      <c r="L98" s="77">
        <f t="shared" si="22"/>
        <v>4.6892074020521021E-2</v>
      </c>
    </row>
    <row r="99" spans="2:12" x14ac:dyDescent="0.25">
      <c r="B99" s="280"/>
      <c r="C99" s="286"/>
      <c r="D99" s="4" t="s">
        <v>53</v>
      </c>
      <c r="E99" s="29">
        <v>60421</v>
      </c>
      <c r="F99" s="29">
        <v>109587</v>
      </c>
      <c r="G99" s="29">
        <v>132057</v>
      </c>
      <c r="H99" s="29">
        <v>131356</v>
      </c>
      <c r="I99" s="29">
        <v>146899</v>
      </c>
      <c r="J99" s="83">
        <f t="shared" si="18"/>
        <v>0.11832729376655804</v>
      </c>
      <c r="K99" s="29">
        <f t="shared" si="19"/>
        <v>15543</v>
      </c>
      <c r="L99" s="77">
        <f t="shared" si="22"/>
        <v>4.6826726544081175E-2</v>
      </c>
    </row>
    <row r="100" spans="2:12" x14ac:dyDescent="0.25">
      <c r="B100" s="280"/>
      <c r="C100" s="286"/>
      <c r="D100" s="4" t="s">
        <v>54</v>
      </c>
      <c r="E100" s="29">
        <v>37492</v>
      </c>
      <c r="F100" s="29">
        <v>145591</v>
      </c>
      <c r="G100" s="29">
        <v>159135</v>
      </c>
      <c r="H100" s="29">
        <v>171016</v>
      </c>
      <c r="I100" s="29">
        <v>163088</v>
      </c>
      <c r="J100" s="31">
        <f t="shared" si="18"/>
        <v>-4.635823548673812E-2</v>
      </c>
      <c r="K100" s="29">
        <f t="shared" si="19"/>
        <v>-7928</v>
      </c>
      <c r="L100" s="42">
        <f t="shared" si="22"/>
        <v>5.1987264573762321E-2</v>
      </c>
    </row>
    <row r="101" spans="2:12" x14ac:dyDescent="0.25">
      <c r="B101" s="280"/>
      <c r="C101" s="287"/>
      <c r="D101" s="32" t="s">
        <v>55</v>
      </c>
      <c r="E101" s="73">
        <v>23840</v>
      </c>
      <c r="F101" s="73">
        <v>60388</v>
      </c>
      <c r="G101" s="73">
        <v>70498</v>
      </c>
      <c r="H101" s="73">
        <v>71735</v>
      </c>
      <c r="I101" s="73">
        <v>69246</v>
      </c>
      <c r="J101" s="74">
        <f t="shared" si="18"/>
        <v>-3.4697149229804158E-2</v>
      </c>
      <c r="K101" s="73">
        <f t="shared" si="19"/>
        <v>-2489</v>
      </c>
      <c r="L101" s="56">
        <f t="shared" si="22"/>
        <v>2.2073421236846032E-2</v>
      </c>
    </row>
    <row r="102" spans="2:12" x14ac:dyDescent="0.25">
      <c r="B102" s="280"/>
      <c r="C102" s="282" t="s">
        <v>21</v>
      </c>
      <c r="D102" s="67" t="s">
        <v>45</v>
      </c>
      <c r="E102" s="68">
        <v>2368548</v>
      </c>
      <c r="F102" s="68">
        <v>14358521</v>
      </c>
      <c r="G102" s="68">
        <v>16459932</v>
      </c>
      <c r="H102" s="68">
        <v>17554900</v>
      </c>
      <c r="I102" s="68">
        <v>16983898</v>
      </c>
      <c r="J102" s="69">
        <f t="shared" si="18"/>
        <v>-3.2526644982312614E-2</v>
      </c>
      <c r="K102" s="68">
        <f t="shared" si="19"/>
        <v>-571002</v>
      </c>
      <c r="L102" s="69">
        <f t="shared" ref="L102:L103" si="23">I102/$I$102</f>
        <v>1</v>
      </c>
    </row>
    <row r="103" spans="2:12" x14ac:dyDescent="0.25">
      <c r="B103" s="280"/>
      <c r="C103" s="283"/>
      <c r="D103" s="15" t="s">
        <v>46</v>
      </c>
      <c r="E103" s="16">
        <v>942171</v>
      </c>
      <c r="F103" s="16">
        <v>5898536</v>
      </c>
      <c r="G103" s="16">
        <v>6497274</v>
      </c>
      <c r="H103" s="16">
        <v>6720449</v>
      </c>
      <c r="I103" s="16">
        <v>6373385</v>
      </c>
      <c r="J103" s="18">
        <f t="shared" si="18"/>
        <v>-5.1642978021260166E-2</v>
      </c>
      <c r="K103" s="16">
        <f t="shared" si="19"/>
        <v>-347064</v>
      </c>
      <c r="L103" s="18">
        <f t="shared" si="23"/>
        <v>0.37526043785708085</v>
      </c>
    </row>
    <row r="104" spans="2:12" x14ac:dyDescent="0.25">
      <c r="B104" s="280"/>
      <c r="C104" s="283"/>
      <c r="D104" s="19" t="s">
        <v>47</v>
      </c>
      <c r="E104" s="20">
        <v>435324</v>
      </c>
      <c r="F104" s="20">
        <v>3984750</v>
      </c>
      <c r="G104" s="20">
        <v>4577973</v>
      </c>
      <c r="H104" s="20">
        <v>4852701</v>
      </c>
      <c r="I104" s="20">
        <v>4821619</v>
      </c>
      <c r="J104" s="63">
        <f t="shared" si="18"/>
        <v>-6.4050927514388567E-3</v>
      </c>
      <c r="K104" s="20">
        <f t="shared" si="19"/>
        <v>-31082</v>
      </c>
      <c r="L104" s="63">
        <f>I104/$I$102</f>
        <v>0.28389354434417824</v>
      </c>
    </row>
    <row r="105" spans="2:12" x14ac:dyDescent="0.25">
      <c r="B105" s="280"/>
      <c r="C105" s="283"/>
      <c r="D105" s="19" t="s">
        <v>48</v>
      </c>
      <c r="E105" s="20">
        <v>21541</v>
      </c>
      <c r="F105" s="20">
        <v>79184</v>
      </c>
      <c r="G105" s="20">
        <v>87423</v>
      </c>
      <c r="H105" s="20">
        <v>95439</v>
      </c>
      <c r="I105" s="20">
        <v>98196</v>
      </c>
      <c r="J105" s="63">
        <f t="shared" si="18"/>
        <v>2.8887561688617946E-2</v>
      </c>
      <c r="K105" s="20">
        <f t="shared" si="19"/>
        <v>2757</v>
      </c>
      <c r="L105" s="63">
        <f t="shared" ref="L105:L112" si="24">I105/$I$102</f>
        <v>5.7817115953004428E-3</v>
      </c>
    </row>
    <row r="106" spans="2:12" x14ac:dyDescent="0.25">
      <c r="B106" s="280"/>
      <c r="C106" s="283"/>
      <c r="D106" s="19" t="s">
        <v>49</v>
      </c>
      <c r="E106" s="20">
        <v>120089</v>
      </c>
      <c r="F106" s="20">
        <v>391208</v>
      </c>
      <c r="G106" s="20">
        <v>518511</v>
      </c>
      <c r="H106" s="20">
        <v>690117</v>
      </c>
      <c r="I106" s="20">
        <v>540830</v>
      </c>
      <c r="J106" s="63">
        <f t="shared" si="18"/>
        <v>-0.21632129044785164</v>
      </c>
      <c r="K106" s="20">
        <f t="shared" si="19"/>
        <v>-149287</v>
      </c>
      <c r="L106" s="63">
        <f t="shared" si="24"/>
        <v>3.1843691006622862E-2</v>
      </c>
    </row>
    <row r="107" spans="2:12" x14ac:dyDescent="0.25">
      <c r="B107" s="280"/>
      <c r="C107" s="283"/>
      <c r="D107" s="19" t="s">
        <v>50</v>
      </c>
      <c r="E107" s="20">
        <v>301325</v>
      </c>
      <c r="F107" s="20">
        <v>1952510</v>
      </c>
      <c r="G107" s="20">
        <v>2421026</v>
      </c>
      <c r="H107" s="20">
        <v>2735886</v>
      </c>
      <c r="I107" s="20">
        <v>2729210</v>
      </c>
      <c r="J107" s="63">
        <f t="shared" si="18"/>
        <v>-2.4401601528718508E-3</v>
      </c>
      <c r="K107" s="20">
        <f t="shared" si="19"/>
        <v>-6676</v>
      </c>
      <c r="L107" s="63">
        <f t="shared" si="24"/>
        <v>0.16069397025347185</v>
      </c>
    </row>
    <row r="108" spans="2:12" x14ac:dyDescent="0.25">
      <c r="B108" s="280"/>
      <c r="C108" s="283"/>
      <c r="D108" s="19" t="s">
        <v>51</v>
      </c>
      <c r="E108" s="20">
        <v>26038</v>
      </c>
      <c r="F108" s="20">
        <v>69048</v>
      </c>
      <c r="G108" s="20">
        <v>80076</v>
      </c>
      <c r="H108" s="20">
        <v>81078</v>
      </c>
      <c r="I108" s="20">
        <v>78508</v>
      </c>
      <c r="J108" s="63">
        <f t="shared" si="18"/>
        <v>-3.169787118577172E-2</v>
      </c>
      <c r="K108" s="20">
        <f t="shared" si="19"/>
        <v>-2570</v>
      </c>
      <c r="L108" s="63">
        <f t="shared" si="24"/>
        <v>4.6224959664736562E-3</v>
      </c>
    </row>
    <row r="109" spans="2:12" x14ac:dyDescent="0.25">
      <c r="B109" s="280"/>
      <c r="C109" s="283"/>
      <c r="D109" s="19" t="s">
        <v>52</v>
      </c>
      <c r="E109" s="20">
        <v>197056</v>
      </c>
      <c r="F109" s="20">
        <v>616496</v>
      </c>
      <c r="G109" s="20">
        <v>677250</v>
      </c>
      <c r="H109" s="20">
        <v>706701</v>
      </c>
      <c r="I109" s="20">
        <v>709471</v>
      </c>
      <c r="J109" s="63">
        <f t="shared" si="18"/>
        <v>3.9196208863436777E-3</v>
      </c>
      <c r="K109" s="20">
        <f t="shared" si="19"/>
        <v>2770</v>
      </c>
      <c r="L109" s="63">
        <f t="shared" si="24"/>
        <v>4.1773154784608336E-2</v>
      </c>
    </row>
    <row r="110" spans="2:12" x14ac:dyDescent="0.25">
      <c r="B110" s="280"/>
      <c r="C110" s="283"/>
      <c r="D110" s="19" t="s">
        <v>53</v>
      </c>
      <c r="E110" s="20">
        <v>116916</v>
      </c>
      <c r="F110" s="20">
        <v>257944</v>
      </c>
      <c r="G110" s="20">
        <v>294093</v>
      </c>
      <c r="H110" s="20">
        <v>301774</v>
      </c>
      <c r="I110" s="20">
        <v>301669</v>
      </c>
      <c r="J110" s="63">
        <f t="shared" si="18"/>
        <v>-3.4794250001657367E-4</v>
      </c>
      <c r="K110" s="20">
        <f t="shared" si="19"/>
        <v>-105</v>
      </c>
      <c r="L110" s="63">
        <f t="shared" si="24"/>
        <v>1.7762059098565007E-2</v>
      </c>
    </row>
    <row r="111" spans="2:12" x14ac:dyDescent="0.25">
      <c r="B111" s="280"/>
      <c r="C111" s="283"/>
      <c r="D111" s="19" t="s">
        <v>54</v>
      </c>
      <c r="E111" s="20">
        <v>132161</v>
      </c>
      <c r="F111" s="20">
        <v>815705</v>
      </c>
      <c r="G111" s="20">
        <v>894003</v>
      </c>
      <c r="H111" s="20">
        <v>988736</v>
      </c>
      <c r="I111" s="20">
        <v>963996</v>
      </c>
      <c r="J111" s="22">
        <f t="shared" si="18"/>
        <v>-2.5021846074179566E-2</v>
      </c>
      <c r="K111" s="20">
        <f t="shared" si="19"/>
        <v>-24740</v>
      </c>
      <c r="L111" s="22">
        <f t="shared" si="24"/>
        <v>5.6759408234788034E-2</v>
      </c>
    </row>
    <row r="112" spans="2:12" x14ac:dyDescent="0.25">
      <c r="B112" s="280"/>
      <c r="C112" s="284"/>
      <c r="D112" s="23" t="s">
        <v>55</v>
      </c>
      <c r="E112" s="71">
        <v>75927</v>
      </c>
      <c r="F112" s="71">
        <v>293140</v>
      </c>
      <c r="G112" s="71">
        <v>412303</v>
      </c>
      <c r="H112" s="71">
        <v>382019</v>
      </c>
      <c r="I112" s="71">
        <v>367014</v>
      </c>
      <c r="J112" s="47">
        <f t="shared" si="18"/>
        <v>-3.9278151086726054E-2</v>
      </c>
      <c r="K112" s="71">
        <f t="shared" si="19"/>
        <v>-15005</v>
      </c>
      <c r="L112" s="47">
        <f t="shared" si="24"/>
        <v>2.1609526858910717E-2</v>
      </c>
    </row>
    <row r="113" spans="2:12" x14ac:dyDescent="0.25">
      <c r="B113" s="280"/>
      <c r="C113" s="285" t="s">
        <v>22</v>
      </c>
      <c r="D113" s="67" t="s">
        <v>45</v>
      </c>
      <c r="E113" s="75">
        <f t="shared" ref="E113:I114" si="25">E102/E80</f>
        <v>4.5480254845560362</v>
      </c>
      <c r="F113" s="75">
        <f t="shared" si="25"/>
        <v>6.5165264969926033</v>
      </c>
      <c r="G113" s="75">
        <f t="shared" si="25"/>
        <v>6.5229234548018189</v>
      </c>
      <c r="H113" s="75">
        <f t="shared" si="25"/>
        <v>6.5366308474880466</v>
      </c>
      <c r="I113" s="75">
        <f t="shared" si="25"/>
        <v>6.3689012454381686</v>
      </c>
      <c r="J113" s="69">
        <f t="shared" si="18"/>
        <v>-2.5659947144534678E-2</v>
      </c>
      <c r="K113" s="75">
        <f t="shared" ref="K113:K114" si="26">(I113-H113)</f>
        <v>-0.16772960204987797</v>
      </c>
      <c r="L113" s="69"/>
    </row>
    <row r="114" spans="2:12" x14ac:dyDescent="0.25">
      <c r="B114" s="280"/>
      <c r="C114" s="286"/>
      <c r="D114" s="26" t="s">
        <v>46</v>
      </c>
      <c r="E114" s="37">
        <f t="shared" si="25"/>
        <v>5.0154695426743254</v>
      </c>
      <c r="F114" s="37">
        <f t="shared" si="25"/>
        <v>7.1220294369785444</v>
      </c>
      <c r="G114" s="37">
        <f t="shared" si="25"/>
        <v>7.0927454437282007</v>
      </c>
      <c r="H114" s="37">
        <f t="shared" si="25"/>
        <v>7.0083740302862498</v>
      </c>
      <c r="I114" s="37">
        <f t="shared" si="25"/>
        <v>6.9474909114692629</v>
      </c>
      <c r="J114" s="82">
        <f t="shared" si="18"/>
        <v>-8.6871959963729095E-3</v>
      </c>
      <c r="K114" s="37">
        <f t="shared" si="26"/>
        <v>-6.0883118816986936E-2</v>
      </c>
      <c r="L114" s="38"/>
    </row>
    <row r="115" spans="2:12" x14ac:dyDescent="0.25">
      <c r="B115" s="280"/>
      <c r="C115" s="286"/>
      <c r="D115" s="4" t="s">
        <v>47</v>
      </c>
      <c r="E115" s="41">
        <f>E104/E82</f>
        <v>5.3506557356899664</v>
      </c>
      <c r="F115" s="41">
        <f>F104/F82</f>
        <v>6.952744543454326</v>
      </c>
      <c r="G115" s="41">
        <f>G104/G82</f>
        <v>7.1766311334064898</v>
      </c>
      <c r="H115" s="41">
        <f>H104/H82</f>
        <v>7.1902731968386338</v>
      </c>
      <c r="I115" s="41">
        <f>I104/I82</f>
        <v>6.9251857107565735</v>
      </c>
      <c r="J115" s="83">
        <f t="shared" si="18"/>
        <v>-3.6867512377500744E-2</v>
      </c>
      <c r="K115" s="41">
        <f>(I115-H115)</f>
        <v>-0.26508748608206023</v>
      </c>
      <c r="L115" s="77"/>
    </row>
    <row r="116" spans="2:12" x14ac:dyDescent="0.25">
      <c r="B116" s="280"/>
      <c r="C116" s="286"/>
      <c r="D116" s="4" t="s">
        <v>48</v>
      </c>
      <c r="E116" s="41">
        <f t="shared" ref="E116:I123" si="27">E105/E83</f>
        <v>4.2587979438513246</v>
      </c>
      <c r="F116" s="41">
        <f t="shared" si="27"/>
        <v>4.7068893776377578</v>
      </c>
      <c r="G116" s="41">
        <f t="shared" si="27"/>
        <v>3.1852728995117685</v>
      </c>
      <c r="H116" s="41">
        <f t="shared" si="27"/>
        <v>4.1082605139684043</v>
      </c>
      <c r="I116" s="41">
        <f t="shared" si="27"/>
        <v>4.5075051641037414</v>
      </c>
      <c r="J116" s="83">
        <f t="shared" si="18"/>
        <v>9.7180947697419473E-2</v>
      </c>
      <c r="K116" s="41">
        <f t="shared" ref="K116:K123" si="28">(I116-H116)</f>
        <v>0.39924465013533705</v>
      </c>
      <c r="L116" s="77"/>
    </row>
    <row r="117" spans="2:12" x14ac:dyDescent="0.25">
      <c r="B117" s="280"/>
      <c r="C117" s="286"/>
      <c r="D117" s="4" t="s">
        <v>49</v>
      </c>
      <c r="E117" s="41">
        <f t="shared" si="27"/>
        <v>7.0644743808459323</v>
      </c>
      <c r="F117" s="41">
        <f t="shared" si="27"/>
        <v>5.8072024463379153</v>
      </c>
      <c r="G117" s="41">
        <f t="shared" si="27"/>
        <v>5.9835556683899558</v>
      </c>
      <c r="H117" s="41">
        <f t="shared" si="27"/>
        <v>5.9057549955072526</v>
      </c>
      <c r="I117" s="41">
        <f t="shared" si="27"/>
        <v>5.7417217839966881</v>
      </c>
      <c r="J117" s="83">
        <f t="shared" si="18"/>
        <v>-2.7775146723044042E-2</v>
      </c>
      <c r="K117" s="41">
        <f t="shared" si="28"/>
        <v>-0.16403321151056449</v>
      </c>
      <c r="L117" s="77"/>
    </row>
    <row r="118" spans="2:12" x14ac:dyDescent="0.25">
      <c r="B118" s="280"/>
      <c r="C118" s="286"/>
      <c r="D118" s="4" t="s">
        <v>50</v>
      </c>
      <c r="E118" s="41">
        <f t="shared" si="27"/>
        <v>4.2996061756228414</v>
      </c>
      <c r="F118" s="41">
        <f t="shared" si="27"/>
        <v>6.0763011464777863</v>
      </c>
      <c r="G118" s="41">
        <f t="shared" si="27"/>
        <v>6.3889934210699932</v>
      </c>
      <c r="H118" s="41">
        <f t="shared" si="27"/>
        <v>6.2947327733180556</v>
      </c>
      <c r="I118" s="41">
        <f t="shared" si="27"/>
        <v>6.1477278358689729</v>
      </c>
      <c r="J118" s="83">
        <f t="shared" si="18"/>
        <v>-2.3353642282036735E-2</v>
      </c>
      <c r="K118" s="41">
        <f t="shared" si="28"/>
        <v>-0.14700493744908272</v>
      </c>
      <c r="L118" s="77"/>
    </row>
    <row r="119" spans="2:12" x14ac:dyDescent="0.25">
      <c r="B119" s="280"/>
      <c r="C119" s="286"/>
      <c r="D119" s="4" t="s">
        <v>51</v>
      </c>
      <c r="E119" s="41">
        <f t="shared" si="27"/>
        <v>2.2062362311472632</v>
      </c>
      <c r="F119" s="41">
        <f t="shared" si="27"/>
        <v>2.7987515706700172</v>
      </c>
      <c r="G119" s="41">
        <f t="shared" si="27"/>
        <v>2.6097839194342143</v>
      </c>
      <c r="H119" s="41">
        <f t="shared" si="27"/>
        <v>2.7768340297280636</v>
      </c>
      <c r="I119" s="41">
        <f t="shared" si="27"/>
        <v>2.7768817204301075</v>
      </c>
      <c r="J119" s="83">
        <f t="shared" si="18"/>
        <v>1.7174487755955425E-5</v>
      </c>
      <c r="K119" s="41">
        <f t="shared" si="28"/>
        <v>4.7690702043912125E-5</v>
      </c>
      <c r="L119" s="77"/>
    </row>
    <row r="120" spans="2:12" x14ac:dyDescent="0.25">
      <c r="B120" s="280"/>
      <c r="C120" s="286"/>
      <c r="D120" s="4" t="s">
        <v>52</v>
      </c>
      <c r="E120" s="41">
        <f t="shared" si="27"/>
        <v>6.0302344084705304</v>
      </c>
      <c r="F120" s="41">
        <f t="shared" si="27"/>
        <v>6.6952215464813207</v>
      </c>
      <c r="G120" s="41">
        <f t="shared" si="27"/>
        <v>5.3429423459244534</v>
      </c>
      <c r="H120" s="41">
        <f t="shared" si="27"/>
        <v>5.975016064121208</v>
      </c>
      <c r="I120" s="41">
        <f t="shared" si="27"/>
        <v>5.5178686701354049</v>
      </c>
      <c r="J120" s="83">
        <f t="shared" si="18"/>
        <v>-7.6509818397122453E-2</v>
      </c>
      <c r="K120" s="41">
        <f t="shared" si="28"/>
        <v>-0.45714739398580306</v>
      </c>
      <c r="L120" s="77"/>
    </row>
    <row r="121" spans="2:12" x14ac:dyDescent="0.25">
      <c r="B121" s="280"/>
      <c r="C121" s="286"/>
      <c r="D121" s="4" t="s">
        <v>53</v>
      </c>
      <c r="E121" s="41">
        <f t="shared" si="27"/>
        <v>1.9882659048007754</v>
      </c>
      <c r="F121" s="41">
        <f t="shared" si="27"/>
        <v>2.4702310837858286</v>
      </c>
      <c r="G121" s="41">
        <f t="shared" si="27"/>
        <v>2.3234499431171787</v>
      </c>
      <c r="H121" s="41">
        <f t="shared" si="27"/>
        <v>2.4062993381708</v>
      </c>
      <c r="I121" s="41">
        <f t="shared" si="27"/>
        <v>2.1431291337799534</v>
      </c>
      <c r="J121" s="83">
        <f t="shared" si="18"/>
        <v>-0.10936719310694776</v>
      </c>
      <c r="K121" s="41">
        <f t="shared" si="28"/>
        <v>-0.2631702043908466</v>
      </c>
      <c r="L121" s="77"/>
    </row>
    <row r="122" spans="2:12" x14ac:dyDescent="0.25">
      <c r="B122" s="280"/>
      <c r="C122" s="286"/>
      <c r="D122" s="4" t="s">
        <v>54</v>
      </c>
      <c r="E122" s="41">
        <f t="shared" si="27"/>
        <v>3.9032753477657343</v>
      </c>
      <c r="F122" s="41">
        <f t="shared" si="27"/>
        <v>6.6574033266408765</v>
      </c>
      <c r="G122" s="41">
        <f t="shared" si="27"/>
        <v>6.7036314964644834</v>
      </c>
      <c r="H122" s="41">
        <f t="shared" si="27"/>
        <v>6.9422982404403815</v>
      </c>
      <c r="I122" s="41">
        <f t="shared" si="27"/>
        <v>7.0848197552640286</v>
      </c>
      <c r="J122" s="31">
        <f t="shared" si="18"/>
        <v>2.0529442828230771E-2</v>
      </c>
      <c r="K122" s="41">
        <f t="shared" si="28"/>
        <v>0.14252151482364717</v>
      </c>
      <c r="L122" s="42"/>
    </row>
    <row r="123" spans="2:12" x14ac:dyDescent="0.25">
      <c r="B123" s="280"/>
      <c r="C123" s="287"/>
      <c r="D123" s="32" t="s">
        <v>55</v>
      </c>
      <c r="E123" s="79">
        <f t="shared" si="27"/>
        <v>3.4058673126093391</v>
      </c>
      <c r="F123" s="79">
        <f t="shared" si="27"/>
        <v>5.5463266039770689</v>
      </c>
      <c r="G123" s="79">
        <f t="shared" si="27"/>
        <v>6.9836884718317016</v>
      </c>
      <c r="H123" s="79">
        <f t="shared" si="27"/>
        <v>6.1834382739029801</v>
      </c>
      <c r="I123" s="79">
        <f t="shared" si="27"/>
        <v>6.1691319841323207</v>
      </c>
      <c r="J123" s="74">
        <f t="shared" si="18"/>
        <v>-2.3136464110976585E-3</v>
      </c>
      <c r="K123" s="79">
        <f t="shared" si="28"/>
        <v>-1.4306289770659397E-2</v>
      </c>
      <c r="L123" s="56"/>
    </row>
    <row r="124" spans="2:12" x14ac:dyDescent="0.25">
      <c r="B124" s="280"/>
      <c r="C124" s="288" t="s">
        <v>36</v>
      </c>
      <c r="D124" s="67" t="s">
        <v>45</v>
      </c>
      <c r="E124" s="69">
        <v>0.23260142704491399</v>
      </c>
      <c r="F124" s="69">
        <v>0.64850668439434189</v>
      </c>
      <c r="G124" s="69">
        <v>0.72567216985031291</v>
      </c>
      <c r="H124" s="69">
        <v>0.76010394107154011</v>
      </c>
      <c r="I124" s="69">
        <v>0.7490740715829608</v>
      </c>
      <c r="J124" s="69">
        <f t="shared" si="18"/>
        <v>-1.4511001578323857E-2</v>
      </c>
      <c r="K124" s="75">
        <f t="shared" ref="K124:K125" si="29">(I124-H124)*100</f>
        <v>-1.1029869488579314</v>
      </c>
      <c r="L124" s="69"/>
    </row>
    <row r="125" spans="2:12" x14ac:dyDescent="0.25">
      <c r="B125" s="280"/>
      <c r="C125" s="289"/>
      <c r="D125" s="15" t="s">
        <v>46</v>
      </c>
      <c r="E125" s="18">
        <v>0.26237001883318883</v>
      </c>
      <c r="F125" s="18">
        <v>0.74064276375027516</v>
      </c>
      <c r="G125" s="18">
        <v>0.78299710988998006</v>
      </c>
      <c r="H125" s="18">
        <v>0.79661756495496217</v>
      </c>
      <c r="I125" s="18">
        <v>0.78969811638701171</v>
      </c>
      <c r="J125" s="18">
        <f t="shared" si="18"/>
        <v>-8.6860356491658131E-3</v>
      </c>
      <c r="K125" s="44">
        <f t="shared" si="29"/>
        <v>-0.69194485679504592</v>
      </c>
      <c r="L125" s="18"/>
    </row>
    <row r="126" spans="2:12" x14ac:dyDescent="0.25">
      <c r="B126" s="280"/>
      <c r="C126" s="289"/>
      <c r="D126" s="19" t="s">
        <v>47</v>
      </c>
      <c r="E126" s="63">
        <v>0.15417694485812997</v>
      </c>
      <c r="F126" s="63">
        <v>0.58856763044200733</v>
      </c>
      <c r="G126" s="63">
        <v>0.6755994984773096</v>
      </c>
      <c r="H126" s="63">
        <v>0.70985263908695595</v>
      </c>
      <c r="I126" s="63">
        <v>0.71179858789377326</v>
      </c>
      <c r="J126" s="63">
        <f t="shared" si="18"/>
        <v>2.7413419344615164E-3</v>
      </c>
      <c r="K126" s="46">
        <f>(I126-H126)*100</f>
        <v>0.19459488068173103</v>
      </c>
      <c r="L126" s="63"/>
    </row>
    <row r="127" spans="2:12" x14ac:dyDescent="0.25">
      <c r="B127" s="280"/>
      <c r="C127" s="289"/>
      <c r="D127" s="19" t="s">
        <v>48</v>
      </c>
      <c r="E127" s="63">
        <v>0.22243448090704446</v>
      </c>
      <c r="F127" s="63">
        <v>0.52688873215069931</v>
      </c>
      <c r="G127" s="63">
        <v>0.52960526315789469</v>
      </c>
      <c r="H127" s="63">
        <v>0.59090233663954828</v>
      </c>
      <c r="I127" s="63">
        <v>0.59271331305229613</v>
      </c>
      <c r="J127" s="63">
        <f t="shared" si="18"/>
        <v>3.064764345063864E-3</v>
      </c>
      <c r="K127" s="46">
        <f t="shared" ref="K127:K134" si="30">(I127-H127)*100</f>
        <v>0.18109764127478556</v>
      </c>
      <c r="L127" s="63"/>
    </row>
    <row r="128" spans="2:12" x14ac:dyDescent="0.25">
      <c r="B128" s="280"/>
      <c r="C128" s="289"/>
      <c r="D128" s="19" t="s">
        <v>49</v>
      </c>
      <c r="E128" s="63">
        <v>0.18167446279341373</v>
      </c>
      <c r="F128" s="63">
        <v>0.47377688858962219</v>
      </c>
      <c r="G128" s="63">
        <v>0.64150240759344579</v>
      </c>
      <c r="H128" s="63">
        <v>0.86353785283305018</v>
      </c>
      <c r="I128" s="63">
        <v>0.64731608529544127</v>
      </c>
      <c r="J128" s="63">
        <f t="shared" si="18"/>
        <v>-0.2503906074623593</v>
      </c>
      <c r="K128" s="46">
        <f t="shared" si="30"/>
        <v>-21.62217675376089</v>
      </c>
      <c r="L128" s="63"/>
    </row>
    <row r="129" spans="2:12" x14ac:dyDescent="0.25">
      <c r="B129" s="280"/>
      <c r="C129" s="289"/>
      <c r="D129" s="19" t="s">
        <v>50</v>
      </c>
      <c r="E129" s="63">
        <v>0.26155548804305367</v>
      </c>
      <c r="F129" s="63">
        <v>0.5895444784498064</v>
      </c>
      <c r="G129" s="63">
        <v>0.7038175222226325</v>
      </c>
      <c r="H129" s="63">
        <v>0.75324686051467404</v>
      </c>
      <c r="I129" s="63">
        <v>0.75606348671644097</v>
      </c>
      <c r="J129" s="63">
        <f t="shared" si="18"/>
        <v>3.739313562943325E-3</v>
      </c>
      <c r="K129" s="46">
        <f t="shared" si="30"/>
        <v>0.28166262017669252</v>
      </c>
      <c r="L129" s="63"/>
    </row>
    <row r="130" spans="2:12" x14ac:dyDescent="0.25">
      <c r="B130" s="280"/>
      <c r="C130" s="289"/>
      <c r="D130" s="19" t="s">
        <v>51</v>
      </c>
      <c r="E130" s="63">
        <v>0.30936850234658114</v>
      </c>
      <c r="F130" s="63">
        <v>0.59226473842670024</v>
      </c>
      <c r="G130" s="63">
        <v>0.66728331791705209</v>
      </c>
      <c r="H130" s="63">
        <v>0.66193687441830085</v>
      </c>
      <c r="I130" s="63">
        <v>0.64449607184783231</v>
      </c>
      <c r="J130" s="63">
        <f t="shared" si="18"/>
        <v>-2.6348135667461081E-2</v>
      </c>
      <c r="K130" s="46">
        <f t="shared" si="30"/>
        <v>-1.7440802570468539</v>
      </c>
      <c r="L130" s="63"/>
    </row>
    <row r="131" spans="2:12" x14ac:dyDescent="0.25">
      <c r="B131" s="280"/>
      <c r="C131" s="289"/>
      <c r="D131" s="19" t="s">
        <v>52</v>
      </c>
      <c r="E131" s="63">
        <v>0.53112247923281353</v>
      </c>
      <c r="F131" s="63">
        <v>0.806175356373665</v>
      </c>
      <c r="G131" s="63">
        <v>0.7809878328495764</v>
      </c>
      <c r="H131" s="63">
        <v>0.80945852146602615</v>
      </c>
      <c r="I131" s="63">
        <v>0.81318176243577089</v>
      </c>
      <c r="J131" s="63">
        <f t="shared" si="18"/>
        <v>4.5996686315705748E-3</v>
      </c>
      <c r="K131" s="46">
        <f t="shared" si="30"/>
        <v>0.37232409697447455</v>
      </c>
      <c r="L131" s="63"/>
    </row>
    <row r="132" spans="2:12" x14ac:dyDescent="0.25">
      <c r="B132" s="280"/>
      <c r="C132" s="289"/>
      <c r="D132" s="19" t="s">
        <v>53</v>
      </c>
      <c r="E132" s="63">
        <v>0.30547666388840261</v>
      </c>
      <c r="F132" s="63">
        <v>0.54874580107688153</v>
      </c>
      <c r="G132" s="63">
        <v>0.57449239917330508</v>
      </c>
      <c r="H132" s="63">
        <v>0.59820127698629644</v>
      </c>
      <c r="I132" s="63">
        <v>0.62212749459165728</v>
      </c>
      <c r="J132" s="63">
        <f t="shared" si="18"/>
        <v>3.9996935021435753E-2</v>
      </c>
      <c r="K132" s="46">
        <f t="shared" si="30"/>
        <v>2.3926217605360844</v>
      </c>
      <c r="L132" s="63"/>
    </row>
    <row r="133" spans="2:12" x14ac:dyDescent="0.25">
      <c r="B133" s="280"/>
      <c r="C133" s="289"/>
      <c r="D133" s="19" t="s">
        <v>54</v>
      </c>
      <c r="E133" s="63">
        <v>0.24035478250748374</v>
      </c>
      <c r="F133" s="63">
        <v>0.70284738904609112</v>
      </c>
      <c r="G133" s="63">
        <v>0.78458686900865937</v>
      </c>
      <c r="H133" s="63">
        <v>0.84686132262126024</v>
      </c>
      <c r="I133" s="63">
        <v>0.81975446381117678</v>
      </c>
      <c r="J133" s="63">
        <f t="shared" si="18"/>
        <v>-3.2008615916216954E-2</v>
      </c>
      <c r="K133" s="46">
        <f t="shared" si="30"/>
        <v>-2.7106858810083456</v>
      </c>
      <c r="L133" s="22"/>
    </row>
    <row r="134" spans="2:12" x14ac:dyDescent="0.25">
      <c r="B134" s="280"/>
      <c r="C134" s="290"/>
      <c r="D134" s="23" t="s">
        <v>55</v>
      </c>
      <c r="E134" s="63">
        <v>0.16132472957439439</v>
      </c>
      <c r="F134" s="63">
        <v>0.48314338220145531</v>
      </c>
      <c r="G134" s="63">
        <v>0.7409378195417109</v>
      </c>
      <c r="H134" s="63">
        <v>0.6790193457565179</v>
      </c>
      <c r="I134" s="63">
        <v>0.65233828581991526</v>
      </c>
      <c r="J134" s="63">
        <f t="shared" si="18"/>
        <v>-3.9293519548955436E-2</v>
      </c>
      <c r="K134" s="46">
        <f t="shared" si="30"/>
        <v>-2.6681059936602636</v>
      </c>
      <c r="L134" s="47"/>
    </row>
    <row r="135" spans="2:12" x14ac:dyDescent="0.25">
      <c r="B135" s="280"/>
      <c r="C135" s="291" t="s">
        <v>39</v>
      </c>
      <c r="D135" s="67" t="s">
        <v>45</v>
      </c>
      <c r="E135" s="68">
        <v>56200.333333333336</v>
      </c>
      <c r="F135" s="68">
        <v>122307.66666666667</v>
      </c>
      <c r="G135" s="68">
        <v>125315</v>
      </c>
      <c r="H135" s="68">
        <v>126901.5</v>
      </c>
      <c r="I135" s="68">
        <v>125277</v>
      </c>
      <c r="J135" s="69">
        <f t="shared" si="18"/>
        <v>-1.2801267124502025E-2</v>
      </c>
      <c r="K135" s="68">
        <f t="shared" ref="K135:K136" si="31">I135-H135</f>
        <v>-1624.5</v>
      </c>
      <c r="L135" s="69">
        <f>I135/$I$135</f>
        <v>1</v>
      </c>
    </row>
    <row r="136" spans="2:12" x14ac:dyDescent="0.25">
      <c r="B136" s="280"/>
      <c r="C136" s="286"/>
      <c r="D136" s="26" t="s">
        <v>46</v>
      </c>
      <c r="E136" s="27">
        <v>19808</v>
      </c>
      <c r="F136" s="27">
        <v>43996</v>
      </c>
      <c r="G136" s="27">
        <v>45845.833333333336</v>
      </c>
      <c r="H136" s="27">
        <v>46352.666666666664</v>
      </c>
      <c r="I136" s="27">
        <v>44589</v>
      </c>
      <c r="J136" s="36">
        <f t="shared" si="18"/>
        <v>-3.8048871693825537E-2</v>
      </c>
      <c r="K136" s="27">
        <f t="shared" si="31"/>
        <v>-1763.6666666666642</v>
      </c>
      <c r="L136" s="38">
        <f t="shared" ref="L136:L145" si="32">I136/$I$135</f>
        <v>0.35592327402476115</v>
      </c>
    </row>
    <row r="137" spans="2:12" x14ac:dyDescent="0.25">
      <c r="B137" s="280"/>
      <c r="C137" s="286"/>
      <c r="D137" s="4" t="s">
        <v>47</v>
      </c>
      <c r="E137" s="29">
        <v>15589.833333333334</v>
      </c>
      <c r="F137" s="29">
        <v>37386.5</v>
      </c>
      <c r="G137" s="29">
        <v>37430.333333333336</v>
      </c>
      <c r="H137" s="29">
        <v>37564.666666666664</v>
      </c>
      <c r="I137" s="29">
        <v>37431.333333333336</v>
      </c>
      <c r="J137" s="76">
        <f>I137/H137-1</f>
        <v>-3.5494347525155678E-3</v>
      </c>
      <c r="K137" s="29">
        <f>I137-H137</f>
        <v>-133.33333333332848</v>
      </c>
      <c r="L137" s="77">
        <f t="shared" si="32"/>
        <v>0.29878855123712522</v>
      </c>
    </row>
    <row r="138" spans="2:12" x14ac:dyDescent="0.25">
      <c r="B138" s="280"/>
      <c r="C138" s="286"/>
      <c r="D138" s="4" t="s">
        <v>48</v>
      </c>
      <c r="E138" s="29">
        <v>535.33333333333337</v>
      </c>
      <c r="F138" s="29">
        <v>830</v>
      </c>
      <c r="G138" s="29">
        <v>912</v>
      </c>
      <c r="H138" s="29">
        <v>887.16666666666663</v>
      </c>
      <c r="I138" s="29">
        <v>915.33333333333337</v>
      </c>
      <c r="J138" s="76">
        <f t="shared" ref="J138:J145" si="33">I138/H138-1</f>
        <v>3.1749013714071017E-2</v>
      </c>
      <c r="K138" s="29">
        <f t="shared" ref="K138:K145" si="34">I138-H138</f>
        <v>28.166666666666742</v>
      </c>
      <c r="L138" s="77">
        <f t="shared" si="32"/>
        <v>7.3064755169211697E-3</v>
      </c>
    </row>
    <row r="139" spans="2:12" x14ac:dyDescent="0.25">
      <c r="B139" s="280"/>
      <c r="C139" s="286"/>
      <c r="D139" s="4" t="s">
        <v>49</v>
      </c>
      <c r="E139" s="29">
        <v>3652</v>
      </c>
      <c r="F139" s="29">
        <v>4562</v>
      </c>
      <c r="G139" s="29">
        <v>4466.666666666667</v>
      </c>
      <c r="H139" s="29">
        <v>4392</v>
      </c>
      <c r="I139" s="29">
        <v>4616</v>
      </c>
      <c r="J139" s="76">
        <f t="shared" si="33"/>
        <v>5.1001821493624755E-2</v>
      </c>
      <c r="K139" s="29">
        <f t="shared" si="34"/>
        <v>224</v>
      </c>
      <c r="L139" s="77">
        <f t="shared" si="32"/>
        <v>3.6846348491742301E-2</v>
      </c>
    </row>
    <row r="140" spans="2:12" x14ac:dyDescent="0.25">
      <c r="B140" s="280"/>
      <c r="C140" s="286"/>
      <c r="D140" s="4" t="s">
        <v>50</v>
      </c>
      <c r="E140" s="29">
        <v>6362.666666666667</v>
      </c>
      <c r="F140" s="29">
        <v>18301.666666666668</v>
      </c>
      <c r="G140" s="29">
        <v>19007.833333333332</v>
      </c>
      <c r="H140" s="29">
        <v>19956.666666666668</v>
      </c>
      <c r="I140" s="29">
        <v>19948</v>
      </c>
      <c r="J140" s="76">
        <f t="shared" si="33"/>
        <v>-4.342742608987038E-4</v>
      </c>
      <c r="K140" s="29">
        <f t="shared" si="34"/>
        <v>-8.6666666666678793</v>
      </c>
      <c r="L140" s="77">
        <f t="shared" si="32"/>
        <v>0.15923114378537162</v>
      </c>
    </row>
    <row r="141" spans="2:12" x14ac:dyDescent="0.25">
      <c r="B141" s="280"/>
      <c r="C141" s="286"/>
      <c r="D141" s="4" t="s">
        <v>51</v>
      </c>
      <c r="E141" s="29">
        <v>465</v>
      </c>
      <c r="F141" s="29">
        <v>644</v>
      </c>
      <c r="G141" s="29">
        <v>663</v>
      </c>
      <c r="H141" s="29">
        <v>673</v>
      </c>
      <c r="I141" s="29">
        <v>673</v>
      </c>
      <c r="J141" s="76">
        <f t="shared" si="33"/>
        <v>0</v>
      </c>
      <c r="K141" s="29">
        <f t="shared" si="34"/>
        <v>0</v>
      </c>
      <c r="L141" s="77">
        <f t="shared" si="32"/>
        <v>5.3720954365126883E-3</v>
      </c>
    </row>
    <row r="142" spans="2:12" x14ac:dyDescent="0.25">
      <c r="B142" s="280"/>
      <c r="C142" s="286"/>
      <c r="D142" s="4" t="s">
        <v>52</v>
      </c>
      <c r="E142" s="29">
        <v>2042.3333333333333</v>
      </c>
      <c r="F142" s="29">
        <v>4225.666666666667</v>
      </c>
      <c r="G142" s="29">
        <v>4791</v>
      </c>
      <c r="H142" s="29">
        <v>4797</v>
      </c>
      <c r="I142" s="29">
        <v>4820</v>
      </c>
      <c r="J142" s="76">
        <f t="shared" si="33"/>
        <v>4.794663331248783E-3</v>
      </c>
      <c r="K142" s="29">
        <f t="shared" si="34"/>
        <v>23</v>
      </c>
      <c r="L142" s="77">
        <f t="shared" si="32"/>
        <v>3.8474739976212716E-2</v>
      </c>
    </row>
    <row r="143" spans="2:12" x14ac:dyDescent="0.25">
      <c r="B143" s="280"/>
      <c r="C143" s="286"/>
      <c r="D143" s="4" t="s">
        <v>53</v>
      </c>
      <c r="E143" s="29">
        <v>2110</v>
      </c>
      <c r="F143" s="29">
        <v>2596.1666666666665</v>
      </c>
      <c r="G143" s="29">
        <v>2828</v>
      </c>
      <c r="H143" s="29">
        <v>2771.8333333333335</v>
      </c>
      <c r="I143" s="29">
        <v>2679</v>
      </c>
      <c r="J143" s="76">
        <f t="shared" si="33"/>
        <v>-3.349167217846194E-2</v>
      </c>
      <c r="K143" s="29">
        <f t="shared" si="34"/>
        <v>-92.833333333333485</v>
      </c>
      <c r="L143" s="77">
        <f t="shared" si="32"/>
        <v>2.1384611700471755E-2</v>
      </c>
    </row>
    <row r="144" spans="2:12" x14ac:dyDescent="0.25">
      <c r="B144" s="280"/>
      <c r="C144" s="286"/>
      <c r="D144" s="4" t="s">
        <v>54</v>
      </c>
      <c r="E144" s="29">
        <v>3033.5</v>
      </c>
      <c r="F144" s="29">
        <v>6412</v>
      </c>
      <c r="G144" s="29">
        <v>6296</v>
      </c>
      <c r="H144" s="29">
        <v>6415</v>
      </c>
      <c r="I144" s="29">
        <v>6497</v>
      </c>
      <c r="J144" s="40">
        <f t="shared" si="33"/>
        <v>1.278254091971931E-2</v>
      </c>
      <c r="K144" s="29">
        <f t="shared" si="34"/>
        <v>82</v>
      </c>
      <c r="L144" s="42">
        <f t="shared" si="32"/>
        <v>5.186107585590332E-2</v>
      </c>
    </row>
    <row r="145" spans="2:12" x14ac:dyDescent="0.25">
      <c r="B145" s="281"/>
      <c r="C145" s="287"/>
      <c r="D145" s="32" t="s">
        <v>55</v>
      </c>
      <c r="E145" s="73">
        <v>2601.6666666666665</v>
      </c>
      <c r="F145" s="73">
        <v>3353.6666666666665</v>
      </c>
      <c r="G145" s="73">
        <v>3074.3333333333335</v>
      </c>
      <c r="H145" s="73">
        <v>3091.5</v>
      </c>
      <c r="I145" s="73">
        <v>3108.3333333333335</v>
      </c>
      <c r="J145" s="65">
        <f t="shared" si="33"/>
        <v>5.4450374683272518E-3</v>
      </c>
      <c r="K145" s="73">
        <f t="shared" si="34"/>
        <v>16.833333333333485</v>
      </c>
      <c r="L145" s="56">
        <f t="shared" si="32"/>
        <v>2.4811683974978117E-2</v>
      </c>
    </row>
    <row r="146" spans="2:12" ht="6" customHeight="1" x14ac:dyDescent="0.25">
      <c r="B146" s="294"/>
      <c r="C146" s="294"/>
      <c r="D146" s="294"/>
      <c r="E146" s="294"/>
      <c r="F146" s="294"/>
      <c r="G146" s="294"/>
      <c r="H146" s="294"/>
      <c r="I146" s="294"/>
      <c r="J146" s="294"/>
      <c r="K146" s="294"/>
      <c r="L146" s="48"/>
    </row>
    <row r="147" spans="2:12" x14ac:dyDescent="0.25">
      <c r="B147" s="296" t="s">
        <v>57</v>
      </c>
      <c r="C147" s="296"/>
      <c r="D147" s="296"/>
      <c r="E147" s="296"/>
      <c r="F147" s="296"/>
      <c r="G147" s="296"/>
      <c r="H147" s="296"/>
      <c r="I147" s="296"/>
      <c r="J147" s="296"/>
      <c r="K147" s="296"/>
    </row>
    <row r="148" spans="2:12" x14ac:dyDescent="0.25">
      <c r="B148" s="64"/>
    </row>
    <row r="150" spans="2:12" ht="21.75" thickBot="1" x14ac:dyDescent="0.3">
      <c r="B150" s="278" t="s">
        <v>58</v>
      </c>
      <c r="C150" s="278"/>
      <c r="D150" s="278"/>
      <c r="E150" s="278"/>
      <c r="F150" s="278"/>
      <c r="G150" s="278"/>
      <c r="H150" s="278"/>
      <c r="I150" s="278"/>
      <c r="J150" s="278"/>
      <c r="K150" s="278"/>
      <c r="L150" s="12"/>
    </row>
    <row r="151" spans="2:12" ht="15.75" thickBot="1" x14ac:dyDescent="0.3"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</row>
    <row r="152" spans="2:12" x14ac:dyDescent="0.25">
      <c r="B152" s="4"/>
      <c r="C152" s="4"/>
      <c r="D152" s="4"/>
      <c r="E152" s="14">
        <v>2020</v>
      </c>
      <c r="F152" s="14">
        <v>2021</v>
      </c>
      <c r="G152" s="14">
        <v>2022</v>
      </c>
      <c r="H152" s="14">
        <v>2023</v>
      </c>
      <c r="I152" s="14">
        <v>2024</v>
      </c>
      <c r="J152" s="14" t="str">
        <f>CONCATENATE("var. ",RIGHT(I152,2),"/",RIGHT(H152,2))</f>
        <v>var. 24/23</v>
      </c>
      <c r="K152" s="14" t="str">
        <f>CONCATENATE("dif. ",RIGHT(I152,2),"/",RIGHT(H152,2))</f>
        <v>dif. 24/23</v>
      </c>
      <c r="L152" s="14" t="str">
        <f>CONCATENATE("cuota ",I152)</f>
        <v>cuota 2024</v>
      </c>
    </row>
    <row r="153" spans="2:12" x14ac:dyDescent="0.25">
      <c r="B153" s="279" t="s">
        <v>44</v>
      </c>
      <c r="C153" s="282" t="s">
        <v>8</v>
      </c>
      <c r="D153" s="67" t="s">
        <v>45</v>
      </c>
      <c r="E153" s="68">
        <v>1565303</v>
      </c>
      <c r="F153" s="68">
        <v>2335438</v>
      </c>
      <c r="G153" s="68">
        <v>4757683</v>
      </c>
      <c r="H153" s="68">
        <v>5188807</v>
      </c>
      <c r="I153" s="68">
        <v>5480280</v>
      </c>
      <c r="J153" s="69">
        <f>I153/H153-1</f>
        <v>5.6173413272068151E-2</v>
      </c>
      <c r="K153" s="68">
        <f>I153-H153</f>
        <v>291473</v>
      </c>
      <c r="L153" s="69">
        <f>I153/$I$153</f>
        <v>1</v>
      </c>
    </row>
    <row r="154" spans="2:12" x14ac:dyDescent="0.25">
      <c r="B154" s="280"/>
      <c r="C154" s="283"/>
      <c r="D154" s="15" t="s">
        <v>46</v>
      </c>
      <c r="E154" s="16">
        <v>550867</v>
      </c>
      <c r="F154" s="16">
        <v>881045</v>
      </c>
      <c r="G154" s="16">
        <v>1757049</v>
      </c>
      <c r="H154" s="16">
        <v>1888332</v>
      </c>
      <c r="I154" s="16">
        <v>1938898</v>
      </c>
      <c r="J154" s="18">
        <f t="shared" ref="J154" si="35">I154/H154-1</f>
        <v>2.677813011694985E-2</v>
      </c>
      <c r="K154" s="16">
        <f t="shared" ref="K154" si="36">I154-H154</f>
        <v>50566</v>
      </c>
      <c r="L154" s="18">
        <f t="shared" ref="L154:L163" si="37">I154/$I$153</f>
        <v>0.35379542651105417</v>
      </c>
    </row>
    <row r="155" spans="2:12" x14ac:dyDescent="0.25">
      <c r="B155" s="280"/>
      <c r="C155" s="283"/>
      <c r="D155" s="19" t="s">
        <v>47</v>
      </c>
      <c r="E155" s="20">
        <v>375345</v>
      </c>
      <c r="F155" s="20">
        <v>492258</v>
      </c>
      <c r="G155" s="20">
        <v>1243535</v>
      </c>
      <c r="H155" s="20">
        <v>1319978</v>
      </c>
      <c r="I155" s="20">
        <v>1387823</v>
      </c>
      <c r="J155" s="63">
        <f>I155/H155-1</f>
        <v>5.139858391579244E-2</v>
      </c>
      <c r="K155" s="20">
        <f>I155-H155</f>
        <v>67845</v>
      </c>
      <c r="L155" s="63">
        <f t="shared" si="37"/>
        <v>0.2532394330216704</v>
      </c>
    </row>
    <row r="156" spans="2:12" x14ac:dyDescent="0.25">
      <c r="B156" s="280"/>
      <c r="C156" s="283"/>
      <c r="D156" s="19" t="s">
        <v>48</v>
      </c>
      <c r="E156" s="20">
        <v>12633</v>
      </c>
      <c r="F156" s="20">
        <v>20161</v>
      </c>
      <c r="G156" s="20">
        <v>37751</v>
      </c>
      <c r="H156" s="20">
        <v>51166</v>
      </c>
      <c r="I156" s="20">
        <v>43737</v>
      </c>
      <c r="J156" s="63">
        <f t="shared" ref="J156:J218" si="38">I156/H156-1</f>
        <v>-0.14519407418989172</v>
      </c>
      <c r="K156" s="20">
        <f t="shared" ref="K156:K185" si="39">I156-H156</f>
        <v>-7429</v>
      </c>
      <c r="L156" s="63">
        <f t="shared" si="37"/>
        <v>7.9807966016334931E-3</v>
      </c>
    </row>
    <row r="157" spans="2:12" x14ac:dyDescent="0.25">
      <c r="B157" s="280"/>
      <c r="C157" s="283"/>
      <c r="D157" s="19" t="s">
        <v>49</v>
      </c>
      <c r="E157" s="20">
        <v>55313</v>
      </c>
      <c r="F157" s="20">
        <v>70304</v>
      </c>
      <c r="G157" s="20">
        <v>161080</v>
      </c>
      <c r="H157" s="20">
        <v>179837</v>
      </c>
      <c r="I157" s="20">
        <v>231856</v>
      </c>
      <c r="J157" s="63">
        <f t="shared" si="38"/>
        <v>0.28925638216829674</v>
      </c>
      <c r="K157" s="20">
        <f t="shared" si="39"/>
        <v>52019</v>
      </c>
      <c r="L157" s="63">
        <f t="shared" si="37"/>
        <v>4.2307327362835476E-2</v>
      </c>
    </row>
    <row r="158" spans="2:12" x14ac:dyDescent="0.25">
      <c r="B158" s="280"/>
      <c r="C158" s="283"/>
      <c r="D158" s="19" t="s">
        <v>50</v>
      </c>
      <c r="E158" s="20">
        <v>225835</v>
      </c>
      <c r="F158" s="20">
        <v>354204</v>
      </c>
      <c r="G158" s="20">
        <v>710225</v>
      </c>
      <c r="H158" s="20">
        <v>797848</v>
      </c>
      <c r="I158" s="20">
        <v>914356</v>
      </c>
      <c r="J158" s="63">
        <f t="shared" si="38"/>
        <v>0.14602781482187077</v>
      </c>
      <c r="K158" s="20">
        <f t="shared" si="39"/>
        <v>116508</v>
      </c>
      <c r="L158" s="63">
        <f t="shared" si="37"/>
        <v>0.16684475975680074</v>
      </c>
    </row>
    <row r="159" spans="2:12" x14ac:dyDescent="0.25">
      <c r="B159" s="280"/>
      <c r="C159" s="283"/>
      <c r="D159" s="19" t="s">
        <v>51</v>
      </c>
      <c r="E159" s="20">
        <v>24221</v>
      </c>
      <c r="F159" s="20">
        <v>33444</v>
      </c>
      <c r="G159" s="20">
        <v>51485</v>
      </c>
      <c r="H159" s="20">
        <v>58157</v>
      </c>
      <c r="I159" s="20">
        <v>57388</v>
      </c>
      <c r="J159" s="63">
        <f t="shared" si="38"/>
        <v>-1.3222827862510056E-2</v>
      </c>
      <c r="K159" s="20">
        <f t="shared" si="39"/>
        <v>-769</v>
      </c>
      <c r="L159" s="63">
        <f t="shared" si="37"/>
        <v>1.0471727721941215E-2</v>
      </c>
    </row>
    <row r="160" spans="2:12" x14ac:dyDescent="0.25">
      <c r="B160" s="280"/>
      <c r="C160" s="283"/>
      <c r="D160" s="19" t="s">
        <v>52</v>
      </c>
      <c r="E160" s="20">
        <v>77467</v>
      </c>
      <c r="F160" s="20">
        <v>107459</v>
      </c>
      <c r="G160" s="20">
        <v>198873</v>
      </c>
      <c r="H160" s="20">
        <v>252588</v>
      </c>
      <c r="I160" s="20">
        <v>239146</v>
      </c>
      <c r="J160" s="63">
        <f t="shared" si="38"/>
        <v>-5.3217096615832848E-2</v>
      </c>
      <c r="K160" s="20">
        <f t="shared" si="39"/>
        <v>-13442</v>
      </c>
      <c r="L160" s="63">
        <f t="shared" si="37"/>
        <v>4.3637551365988597E-2</v>
      </c>
    </row>
    <row r="161" spans="2:12" x14ac:dyDescent="0.25">
      <c r="B161" s="280"/>
      <c r="C161" s="283"/>
      <c r="D161" s="19" t="s">
        <v>53</v>
      </c>
      <c r="E161" s="20">
        <v>103516</v>
      </c>
      <c r="F161" s="20">
        <v>164258</v>
      </c>
      <c r="G161" s="20">
        <v>229131</v>
      </c>
      <c r="H161" s="20">
        <v>239109</v>
      </c>
      <c r="I161" s="20">
        <v>250871</v>
      </c>
      <c r="J161" s="63">
        <f t="shared" si="38"/>
        <v>4.9190954752853289E-2</v>
      </c>
      <c r="K161" s="20">
        <f t="shared" si="39"/>
        <v>11762</v>
      </c>
      <c r="L161" s="63">
        <f t="shared" si="37"/>
        <v>4.5777040589166977E-2</v>
      </c>
    </row>
    <row r="162" spans="2:12" x14ac:dyDescent="0.25">
      <c r="B162" s="280"/>
      <c r="C162" s="283"/>
      <c r="D162" s="19" t="s">
        <v>54</v>
      </c>
      <c r="E162" s="20">
        <v>96681</v>
      </c>
      <c r="F162" s="20">
        <v>140346</v>
      </c>
      <c r="G162" s="20">
        <v>257117</v>
      </c>
      <c r="H162" s="20">
        <v>278594</v>
      </c>
      <c r="I162" s="20">
        <v>287810</v>
      </c>
      <c r="J162" s="22">
        <f t="shared" si="38"/>
        <v>3.3080396562739978E-2</v>
      </c>
      <c r="K162" s="20">
        <f t="shared" si="39"/>
        <v>9216</v>
      </c>
      <c r="L162" s="22">
        <f t="shared" si="37"/>
        <v>5.2517389622428051E-2</v>
      </c>
    </row>
    <row r="163" spans="2:12" x14ac:dyDescent="0.25">
      <c r="B163" s="280"/>
      <c r="C163" s="284"/>
      <c r="D163" s="23" t="s">
        <v>55</v>
      </c>
      <c r="E163" s="71">
        <v>43425</v>
      </c>
      <c r="F163" s="71">
        <v>71959</v>
      </c>
      <c r="G163" s="71">
        <v>111437</v>
      </c>
      <c r="H163" s="71">
        <v>123198</v>
      </c>
      <c r="I163" s="71">
        <v>128395</v>
      </c>
      <c r="J163" s="47">
        <f t="shared" si="38"/>
        <v>4.2184126365687691E-2</v>
      </c>
      <c r="K163" s="71">
        <f t="shared" si="39"/>
        <v>5197</v>
      </c>
      <c r="L163" s="47">
        <f t="shared" si="37"/>
        <v>2.3428547446480836E-2</v>
      </c>
    </row>
    <row r="164" spans="2:12" x14ac:dyDescent="0.25">
      <c r="B164" s="280"/>
      <c r="C164" s="285" t="s">
        <v>18</v>
      </c>
      <c r="D164" s="67" t="s">
        <v>45</v>
      </c>
      <c r="E164" s="68">
        <v>1664028</v>
      </c>
      <c r="F164" s="68">
        <v>2347681</v>
      </c>
      <c r="G164" s="68">
        <v>4832844</v>
      </c>
      <c r="H164" s="68">
        <v>5281361</v>
      </c>
      <c r="I164" s="68">
        <v>5576793</v>
      </c>
      <c r="J164" s="69">
        <f>I164/H164-1</f>
        <v>5.5938611278418593E-2</v>
      </c>
      <c r="K164" s="68">
        <f>I164-H164</f>
        <v>295432</v>
      </c>
      <c r="L164" s="69">
        <f t="shared" ref="L164:L174" si="40">I164/$I$164</f>
        <v>1</v>
      </c>
    </row>
    <row r="165" spans="2:12" x14ac:dyDescent="0.25">
      <c r="B165" s="280"/>
      <c r="C165" s="286"/>
      <c r="D165" s="26" t="s">
        <v>46</v>
      </c>
      <c r="E165" s="27">
        <v>590539</v>
      </c>
      <c r="F165" s="27">
        <v>886032</v>
      </c>
      <c r="G165" s="27">
        <v>1785371</v>
      </c>
      <c r="H165" s="27">
        <v>1925016</v>
      </c>
      <c r="I165" s="27">
        <v>1977765</v>
      </c>
      <c r="J165" s="82">
        <f t="shared" ref="J165" si="41">I165/H165-1</f>
        <v>2.7401850166440145E-2</v>
      </c>
      <c r="K165" s="27">
        <f t="shared" ref="K165" si="42">I165-H165</f>
        <v>52749</v>
      </c>
      <c r="L165" s="38">
        <f t="shared" si="40"/>
        <v>0.35464199585675854</v>
      </c>
    </row>
    <row r="166" spans="2:12" x14ac:dyDescent="0.25">
      <c r="B166" s="280"/>
      <c r="C166" s="286"/>
      <c r="D166" s="4" t="s">
        <v>47</v>
      </c>
      <c r="E166" s="29">
        <v>404818</v>
      </c>
      <c r="F166" s="29">
        <v>494807</v>
      </c>
      <c r="G166" s="29">
        <v>1265143</v>
      </c>
      <c r="H166" s="29">
        <v>1346080</v>
      </c>
      <c r="I166" s="29">
        <v>1414435</v>
      </c>
      <c r="J166" s="83">
        <f>I166/H166-1</f>
        <v>5.0780785688814944E-2</v>
      </c>
      <c r="K166" s="29">
        <f>I166-H166</f>
        <v>68355</v>
      </c>
      <c r="L166" s="77">
        <f t="shared" si="40"/>
        <v>0.25362874325799795</v>
      </c>
    </row>
    <row r="167" spans="2:12" x14ac:dyDescent="0.25">
      <c r="B167" s="280"/>
      <c r="C167" s="286"/>
      <c r="D167" s="4" t="s">
        <v>48</v>
      </c>
      <c r="E167" s="29">
        <v>13335</v>
      </c>
      <c r="F167" s="29">
        <v>20284</v>
      </c>
      <c r="G167" s="29">
        <v>38233</v>
      </c>
      <c r="H167" s="29">
        <v>51566</v>
      </c>
      <c r="I167" s="29">
        <v>44327</v>
      </c>
      <c r="J167" s="83">
        <f t="shared" ref="J167:J174" si="43">I167/H167-1</f>
        <v>-0.14038319823139278</v>
      </c>
      <c r="K167" s="29">
        <f t="shared" ref="K167:K174" si="44">I167-H167</f>
        <v>-7239</v>
      </c>
      <c r="L167" s="77">
        <f t="shared" si="40"/>
        <v>7.948475046500739E-3</v>
      </c>
    </row>
    <row r="168" spans="2:12" x14ac:dyDescent="0.25">
      <c r="B168" s="280"/>
      <c r="C168" s="286"/>
      <c r="D168" s="4" t="s">
        <v>49</v>
      </c>
      <c r="E168" s="29">
        <v>57877</v>
      </c>
      <c r="F168" s="29">
        <v>71245</v>
      </c>
      <c r="G168" s="29">
        <v>164270</v>
      </c>
      <c r="H168" s="29">
        <v>183368</v>
      </c>
      <c r="I168" s="29">
        <v>234780</v>
      </c>
      <c r="J168" s="83">
        <f t="shared" si="43"/>
        <v>0.28037607434230627</v>
      </c>
      <c r="K168" s="29">
        <f t="shared" si="44"/>
        <v>51412</v>
      </c>
      <c r="L168" s="77">
        <f t="shared" si="40"/>
        <v>4.2099464692341999E-2</v>
      </c>
    </row>
    <row r="169" spans="2:12" x14ac:dyDescent="0.25">
      <c r="B169" s="280"/>
      <c r="C169" s="286"/>
      <c r="D169" s="4" t="s">
        <v>50</v>
      </c>
      <c r="E169" s="29">
        <v>240954</v>
      </c>
      <c r="F169" s="29">
        <v>355287</v>
      </c>
      <c r="G169" s="29">
        <v>720575</v>
      </c>
      <c r="H169" s="29">
        <v>811299</v>
      </c>
      <c r="I169" s="29">
        <v>928708</v>
      </c>
      <c r="J169" s="83">
        <f t="shared" si="43"/>
        <v>0.14471729904757669</v>
      </c>
      <c r="K169" s="29">
        <f t="shared" si="44"/>
        <v>117409</v>
      </c>
      <c r="L169" s="77">
        <f t="shared" si="40"/>
        <v>0.16653083591232451</v>
      </c>
    </row>
    <row r="170" spans="2:12" x14ac:dyDescent="0.25">
      <c r="B170" s="280"/>
      <c r="C170" s="286"/>
      <c r="D170" s="4" t="s">
        <v>51</v>
      </c>
      <c r="E170" s="29">
        <v>24525</v>
      </c>
      <c r="F170" s="29">
        <v>33497</v>
      </c>
      <c r="G170" s="29">
        <v>51855</v>
      </c>
      <c r="H170" s="29">
        <v>58492</v>
      </c>
      <c r="I170" s="29">
        <v>57716</v>
      </c>
      <c r="J170" s="83">
        <f t="shared" si="43"/>
        <v>-1.3266771524310994E-2</v>
      </c>
      <c r="K170" s="29">
        <f t="shared" si="44"/>
        <v>-776</v>
      </c>
      <c r="L170" s="77">
        <f t="shared" si="40"/>
        <v>1.0349317250972019E-2</v>
      </c>
    </row>
    <row r="171" spans="2:12" x14ac:dyDescent="0.25">
      <c r="B171" s="280"/>
      <c r="C171" s="286"/>
      <c r="D171" s="4" t="s">
        <v>52</v>
      </c>
      <c r="E171" s="29">
        <v>80970</v>
      </c>
      <c r="F171" s="29">
        <v>108554</v>
      </c>
      <c r="G171" s="29">
        <v>202302</v>
      </c>
      <c r="H171" s="29">
        <v>255835</v>
      </c>
      <c r="I171" s="29">
        <v>243005</v>
      </c>
      <c r="J171" s="83">
        <f t="shared" si="43"/>
        <v>-5.0149510426642174E-2</v>
      </c>
      <c r="K171" s="29">
        <f t="shared" si="44"/>
        <v>-12830</v>
      </c>
      <c r="L171" s="77">
        <f t="shared" si="40"/>
        <v>4.3574326678433285E-2</v>
      </c>
    </row>
    <row r="172" spans="2:12" x14ac:dyDescent="0.25">
      <c r="B172" s="280"/>
      <c r="C172" s="286"/>
      <c r="D172" s="4" t="s">
        <v>53</v>
      </c>
      <c r="E172" s="29">
        <v>104957</v>
      </c>
      <c r="F172" s="29">
        <v>164413</v>
      </c>
      <c r="G172" s="29">
        <v>230406</v>
      </c>
      <c r="H172" s="29">
        <v>240602</v>
      </c>
      <c r="I172" s="29">
        <v>252566</v>
      </c>
      <c r="J172" s="83">
        <f t="shared" si="43"/>
        <v>4.9725272441625501E-2</v>
      </c>
      <c r="K172" s="29">
        <f t="shared" si="44"/>
        <v>11964</v>
      </c>
      <c r="L172" s="77">
        <f t="shared" si="40"/>
        <v>4.5288752872842869E-2</v>
      </c>
    </row>
    <row r="173" spans="2:12" x14ac:dyDescent="0.25">
      <c r="B173" s="280"/>
      <c r="C173" s="286"/>
      <c r="D173" s="4" t="s">
        <v>54</v>
      </c>
      <c r="E173" s="29">
        <v>100783</v>
      </c>
      <c r="F173" s="29">
        <v>141329</v>
      </c>
      <c r="G173" s="29">
        <v>261644</v>
      </c>
      <c r="H173" s="29">
        <v>283635</v>
      </c>
      <c r="I173" s="29">
        <v>293116</v>
      </c>
      <c r="J173" s="31">
        <f t="shared" si="43"/>
        <v>3.3426763269695181E-2</v>
      </c>
      <c r="K173" s="29">
        <f t="shared" si="44"/>
        <v>9481</v>
      </c>
      <c r="L173" s="42">
        <f t="shared" si="40"/>
        <v>5.2559956950168317E-2</v>
      </c>
    </row>
    <row r="174" spans="2:12" x14ac:dyDescent="0.25">
      <c r="B174" s="280"/>
      <c r="C174" s="287"/>
      <c r="D174" s="32" t="s">
        <v>55</v>
      </c>
      <c r="E174" s="73">
        <v>45270</v>
      </c>
      <c r="F174" s="73">
        <v>72233</v>
      </c>
      <c r="G174" s="73">
        <v>113045</v>
      </c>
      <c r="H174" s="73">
        <v>125468</v>
      </c>
      <c r="I174" s="73">
        <v>130375</v>
      </c>
      <c r="J174" s="74">
        <f t="shared" si="43"/>
        <v>3.9109573755857996E-2</v>
      </c>
      <c r="K174" s="73">
        <f t="shared" si="44"/>
        <v>4907</v>
      </c>
      <c r="L174" s="56">
        <f t="shared" si="40"/>
        <v>2.3378131481659799E-2</v>
      </c>
    </row>
    <row r="175" spans="2:12" x14ac:dyDescent="0.25">
      <c r="B175" s="280"/>
      <c r="C175" s="282" t="s">
        <v>21</v>
      </c>
      <c r="D175" s="67" t="s">
        <v>45</v>
      </c>
      <c r="E175" s="68">
        <v>10243785</v>
      </c>
      <c r="F175" s="68">
        <v>13903380</v>
      </c>
      <c r="G175" s="68">
        <v>31405937</v>
      </c>
      <c r="H175" s="68">
        <v>34509923</v>
      </c>
      <c r="I175" s="68">
        <v>36076748</v>
      </c>
      <c r="J175" s="69">
        <f t="shared" si="38"/>
        <v>4.540215867766495E-2</v>
      </c>
      <c r="K175" s="68">
        <f t="shared" si="39"/>
        <v>1566825</v>
      </c>
      <c r="L175" s="69">
        <f>I175/$I$175</f>
        <v>1</v>
      </c>
    </row>
    <row r="176" spans="2:12" x14ac:dyDescent="0.25">
      <c r="B176" s="280"/>
      <c r="C176" s="283"/>
      <c r="D176" s="15" t="s">
        <v>46</v>
      </c>
      <c r="E176" s="16">
        <v>3913809</v>
      </c>
      <c r="F176" s="16">
        <v>5763674</v>
      </c>
      <c r="G176" s="16">
        <v>12632387</v>
      </c>
      <c r="H176" s="16">
        <v>13590517</v>
      </c>
      <c r="I176" s="16">
        <v>13839613</v>
      </c>
      <c r="J176" s="18">
        <f t="shared" si="38"/>
        <v>1.8328662551983843E-2</v>
      </c>
      <c r="K176" s="16">
        <f t="shared" si="39"/>
        <v>249096</v>
      </c>
      <c r="L176" s="18">
        <f t="shared" ref="L176:L185" si="45">I176/$I$175</f>
        <v>0.38361586803777326</v>
      </c>
    </row>
    <row r="177" spans="2:12" x14ac:dyDescent="0.25">
      <c r="B177" s="280"/>
      <c r="C177" s="283"/>
      <c r="D177" s="19" t="s">
        <v>47</v>
      </c>
      <c r="E177" s="20">
        <v>2858440</v>
      </c>
      <c r="F177" s="20">
        <v>3367162</v>
      </c>
      <c r="G177" s="20">
        <v>8865243</v>
      </c>
      <c r="H177" s="20">
        <v>9739308</v>
      </c>
      <c r="I177" s="20">
        <v>10014981</v>
      </c>
      <c r="J177" s="63">
        <f t="shared" si="38"/>
        <v>2.8305193757092395E-2</v>
      </c>
      <c r="K177" s="20">
        <f t="shared" si="39"/>
        <v>275673</v>
      </c>
      <c r="L177" s="63">
        <f t="shared" si="45"/>
        <v>0.2776020998344973</v>
      </c>
    </row>
    <row r="178" spans="2:12" x14ac:dyDescent="0.25">
      <c r="B178" s="280"/>
      <c r="C178" s="283"/>
      <c r="D178" s="19" t="s">
        <v>48</v>
      </c>
      <c r="E178" s="20">
        <v>65275</v>
      </c>
      <c r="F178" s="20">
        <v>98762</v>
      </c>
      <c r="G178" s="20">
        <v>168339</v>
      </c>
      <c r="H178" s="20">
        <v>182035</v>
      </c>
      <c r="I178" s="20">
        <v>194642</v>
      </c>
      <c r="J178" s="63">
        <f t="shared" si="38"/>
        <v>6.925591232455286E-2</v>
      </c>
      <c r="K178" s="20">
        <f t="shared" si="39"/>
        <v>12607</v>
      </c>
      <c r="L178" s="63">
        <f t="shared" si="45"/>
        <v>5.3952202121987274E-3</v>
      </c>
    </row>
    <row r="179" spans="2:12" x14ac:dyDescent="0.25">
      <c r="B179" s="280"/>
      <c r="C179" s="283"/>
      <c r="D179" s="19" t="s">
        <v>49</v>
      </c>
      <c r="E179" s="20">
        <v>295880</v>
      </c>
      <c r="F179" s="20">
        <v>419370</v>
      </c>
      <c r="G179" s="20">
        <v>1014697</v>
      </c>
      <c r="H179" s="20">
        <v>1034949</v>
      </c>
      <c r="I179" s="20">
        <v>1361415</v>
      </c>
      <c r="J179" s="63">
        <f t="shared" si="38"/>
        <v>0.31544163045715301</v>
      </c>
      <c r="K179" s="20">
        <f t="shared" si="39"/>
        <v>326466</v>
      </c>
      <c r="L179" s="63">
        <f t="shared" si="45"/>
        <v>3.7736633024683934E-2</v>
      </c>
    </row>
    <row r="180" spans="2:12" x14ac:dyDescent="0.25">
      <c r="B180" s="280"/>
      <c r="C180" s="283"/>
      <c r="D180" s="19" t="s">
        <v>50</v>
      </c>
      <c r="E180" s="20">
        <v>1546641</v>
      </c>
      <c r="F180" s="20">
        <v>1967362</v>
      </c>
      <c r="G180" s="20">
        <v>4352393</v>
      </c>
      <c r="H180" s="20">
        <v>5123327</v>
      </c>
      <c r="I180" s="20">
        <v>5751799</v>
      </c>
      <c r="J180" s="63">
        <f t="shared" si="38"/>
        <v>0.12266872678632468</v>
      </c>
      <c r="K180" s="20">
        <f t="shared" si="39"/>
        <v>628472</v>
      </c>
      <c r="L180" s="63">
        <f t="shared" si="45"/>
        <v>0.15943230249023554</v>
      </c>
    </row>
    <row r="181" spans="2:12" x14ac:dyDescent="0.25">
      <c r="B181" s="280"/>
      <c r="C181" s="283"/>
      <c r="D181" s="19" t="s">
        <v>51</v>
      </c>
      <c r="E181" s="20">
        <v>59047</v>
      </c>
      <c r="F181" s="20">
        <v>83402</v>
      </c>
      <c r="G181" s="20">
        <v>137757</v>
      </c>
      <c r="H181" s="20">
        <v>148334</v>
      </c>
      <c r="I181" s="20">
        <v>152300</v>
      </c>
      <c r="J181" s="63">
        <f t="shared" si="38"/>
        <v>2.6736958485579887E-2</v>
      </c>
      <c r="K181" s="20">
        <f t="shared" si="39"/>
        <v>3966</v>
      </c>
      <c r="L181" s="63">
        <f t="shared" si="45"/>
        <v>4.2215556679332626E-3</v>
      </c>
    </row>
    <row r="182" spans="2:12" x14ac:dyDescent="0.25">
      <c r="B182" s="280"/>
      <c r="C182" s="283"/>
      <c r="D182" s="19" t="s">
        <v>52</v>
      </c>
      <c r="E182" s="20">
        <v>442013</v>
      </c>
      <c r="F182" s="20">
        <v>749212</v>
      </c>
      <c r="G182" s="20">
        <v>1316064</v>
      </c>
      <c r="H182" s="20">
        <v>1447168</v>
      </c>
      <c r="I182" s="20">
        <v>1453294</v>
      </c>
      <c r="J182" s="63">
        <f t="shared" si="38"/>
        <v>4.2330952591544957E-3</v>
      </c>
      <c r="K182" s="20">
        <f t="shared" si="39"/>
        <v>6126</v>
      </c>
      <c r="L182" s="63">
        <f t="shared" si="45"/>
        <v>4.0283398049070274E-2</v>
      </c>
    </row>
    <row r="183" spans="2:12" x14ac:dyDescent="0.25">
      <c r="B183" s="280"/>
      <c r="C183" s="283"/>
      <c r="D183" s="19" t="s">
        <v>53</v>
      </c>
      <c r="E183" s="20">
        <v>216673</v>
      </c>
      <c r="F183" s="20">
        <v>359169</v>
      </c>
      <c r="G183" s="20">
        <v>543499</v>
      </c>
      <c r="H183" s="20">
        <v>576462</v>
      </c>
      <c r="I183" s="20">
        <v>584273</v>
      </c>
      <c r="J183" s="63">
        <f t="shared" si="38"/>
        <v>1.3549895743344642E-2</v>
      </c>
      <c r="K183" s="20">
        <f t="shared" si="39"/>
        <v>7811</v>
      </c>
      <c r="L183" s="63">
        <f t="shared" si="45"/>
        <v>1.6195279020160019E-2</v>
      </c>
    </row>
    <row r="184" spans="2:12" x14ac:dyDescent="0.25">
      <c r="B184" s="280"/>
      <c r="C184" s="283"/>
      <c r="D184" s="19" t="s">
        <v>54</v>
      </c>
      <c r="E184" s="20">
        <v>610766</v>
      </c>
      <c r="F184" s="20">
        <v>774989</v>
      </c>
      <c r="G184" s="20">
        <v>1753117</v>
      </c>
      <c r="H184" s="20">
        <v>1886738</v>
      </c>
      <c r="I184" s="20">
        <v>1988780</v>
      </c>
      <c r="J184" s="22">
        <f t="shared" si="38"/>
        <v>5.4083820859069931E-2</v>
      </c>
      <c r="K184" s="20">
        <f t="shared" si="39"/>
        <v>102042</v>
      </c>
      <c r="L184" s="22">
        <f t="shared" si="45"/>
        <v>5.512636560257593E-2</v>
      </c>
    </row>
    <row r="185" spans="2:12" x14ac:dyDescent="0.25">
      <c r="B185" s="280"/>
      <c r="C185" s="284"/>
      <c r="D185" s="23" t="s">
        <v>55</v>
      </c>
      <c r="E185" s="71">
        <v>235241</v>
      </c>
      <c r="F185" s="71">
        <v>320278</v>
      </c>
      <c r="G185" s="71">
        <v>622441</v>
      </c>
      <c r="H185" s="71">
        <v>781085</v>
      </c>
      <c r="I185" s="71">
        <v>735651</v>
      </c>
      <c r="J185" s="47">
        <f t="shared" si="38"/>
        <v>-5.8167805040424514E-2</v>
      </c>
      <c r="K185" s="71">
        <f t="shared" si="39"/>
        <v>-45434</v>
      </c>
      <c r="L185" s="47">
        <f t="shared" si="45"/>
        <v>2.0391278060871782E-2</v>
      </c>
    </row>
    <row r="186" spans="2:12" x14ac:dyDescent="0.25">
      <c r="B186" s="280"/>
      <c r="C186" s="285" t="s">
        <v>22</v>
      </c>
      <c r="D186" s="67" t="s">
        <v>45</v>
      </c>
      <c r="E186" s="75">
        <f t="shared" ref="E186:I187" si="46">E175/E153</f>
        <v>6.5442824807720932</v>
      </c>
      <c r="F186" s="75">
        <f t="shared" si="46"/>
        <v>5.9532216226677823</v>
      </c>
      <c r="G186" s="75">
        <f t="shared" si="46"/>
        <v>6.6010991064347921</v>
      </c>
      <c r="H186" s="75">
        <f t="shared" si="46"/>
        <v>6.6508395860551373</v>
      </c>
      <c r="I186" s="75">
        <f t="shared" si="46"/>
        <v>6.583011816914464</v>
      </c>
      <c r="J186" s="69">
        <f t="shared" si="38"/>
        <v>-1.0198376951218058E-2</v>
      </c>
      <c r="K186" s="75">
        <f t="shared" ref="K186:K187" si="47">(I186-H186)</f>
        <v>-6.7827769140673233E-2</v>
      </c>
      <c r="L186" s="69"/>
    </row>
    <row r="187" spans="2:12" x14ac:dyDescent="0.25">
      <c r="B187" s="280"/>
      <c r="C187" s="286"/>
      <c r="D187" s="26" t="s">
        <v>46</v>
      </c>
      <c r="E187" s="37">
        <f t="shared" si="46"/>
        <v>7.1048165891222386</v>
      </c>
      <c r="F187" s="37">
        <f t="shared" si="46"/>
        <v>6.5418610854156141</v>
      </c>
      <c r="G187" s="37">
        <f t="shared" si="46"/>
        <v>7.1895473603752658</v>
      </c>
      <c r="H187" s="37">
        <f t="shared" si="46"/>
        <v>7.1971014630901768</v>
      </c>
      <c r="I187" s="37">
        <f t="shared" si="46"/>
        <v>7.1378757417873455</v>
      </c>
      <c r="J187" s="82">
        <f t="shared" si="38"/>
        <v>-8.2291074547949927E-3</v>
      </c>
      <c r="K187" s="37">
        <f t="shared" si="47"/>
        <v>-5.9225721302831325E-2</v>
      </c>
      <c r="L187" s="38"/>
    </row>
    <row r="188" spans="2:12" x14ac:dyDescent="0.25">
      <c r="B188" s="280"/>
      <c r="C188" s="286"/>
      <c r="D188" s="4" t="s">
        <v>47</v>
      </c>
      <c r="E188" s="41">
        <f>E177/E155</f>
        <v>7.6155004062928775</v>
      </c>
      <c r="F188" s="41">
        <f>F177/F155</f>
        <v>6.8402382490482632</v>
      </c>
      <c r="G188" s="41">
        <f>G177/G155</f>
        <v>7.1290659289847085</v>
      </c>
      <c r="H188" s="41">
        <f>H177/H155</f>
        <v>7.378386609473794</v>
      </c>
      <c r="I188" s="41">
        <f>I177/I155</f>
        <v>7.2163244160098223</v>
      </c>
      <c r="J188" s="83">
        <f t="shared" si="38"/>
        <v>-2.1964448603965181E-2</v>
      </c>
      <c r="K188" s="41">
        <f>(I188-H188)</f>
        <v>-0.16206219346397166</v>
      </c>
      <c r="L188" s="77"/>
    </row>
    <row r="189" spans="2:12" x14ac:dyDescent="0.25">
      <c r="B189" s="280"/>
      <c r="C189" s="286"/>
      <c r="D189" s="4" t="s">
        <v>48</v>
      </c>
      <c r="E189" s="41">
        <f t="shared" ref="E189:I196" si="48">E178/E156</f>
        <v>5.1670228765930499</v>
      </c>
      <c r="F189" s="41">
        <f t="shared" si="48"/>
        <v>4.8986657407866669</v>
      </c>
      <c r="G189" s="41">
        <f t="shared" si="48"/>
        <v>4.4591931339567168</v>
      </c>
      <c r="H189" s="41">
        <f t="shared" si="48"/>
        <v>3.5577336512527848</v>
      </c>
      <c r="I189" s="41">
        <f t="shared" si="48"/>
        <v>4.4502823696184013</v>
      </c>
      <c r="J189" s="83">
        <f t="shared" si="38"/>
        <v>0.25087564327681555</v>
      </c>
      <c r="K189" s="41">
        <f t="shared" ref="K189:K196" si="49">(I189-H189)</f>
        <v>0.89254871836561644</v>
      </c>
      <c r="L189" s="77"/>
    </row>
    <row r="190" spans="2:12" x14ac:dyDescent="0.25">
      <c r="B190" s="280"/>
      <c r="C190" s="286"/>
      <c r="D190" s="4" t="s">
        <v>49</v>
      </c>
      <c r="E190" s="41">
        <f t="shared" si="48"/>
        <v>5.3491945835517871</v>
      </c>
      <c r="F190" s="41">
        <f t="shared" si="48"/>
        <v>5.9650944469731453</v>
      </c>
      <c r="G190" s="41">
        <f t="shared" si="48"/>
        <v>6.2993357337968714</v>
      </c>
      <c r="H190" s="41">
        <f t="shared" si="48"/>
        <v>5.7549280737556785</v>
      </c>
      <c r="I190" s="41">
        <f t="shared" si="48"/>
        <v>5.8718126768338967</v>
      </c>
      <c r="J190" s="83">
        <f t="shared" si="38"/>
        <v>2.0310349943598593E-2</v>
      </c>
      <c r="K190" s="41">
        <f t="shared" si="49"/>
        <v>0.11688460307821824</v>
      </c>
      <c r="L190" s="77"/>
    </row>
    <row r="191" spans="2:12" x14ac:dyDescent="0.25">
      <c r="B191" s="280"/>
      <c r="C191" s="286"/>
      <c r="D191" s="4" t="s">
        <v>50</v>
      </c>
      <c r="E191" s="41">
        <f t="shared" si="48"/>
        <v>6.8485442911860428</v>
      </c>
      <c r="F191" s="41">
        <f t="shared" si="48"/>
        <v>5.5543189800228117</v>
      </c>
      <c r="G191" s="41">
        <f t="shared" si="48"/>
        <v>6.1281889542046537</v>
      </c>
      <c r="H191" s="41">
        <f t="shared" si="48"/>
        <v>6.4214324031645127</v>
      </c>
      <c r="I191" s="41">
        <f t="shared" si="48"/>
        <v>6.2905465704823937</v>
      </c>
      <c r="J191" s="83">
        <f t="shared" si="38"/>
        <v>-2.0382653661139227E-2</v>
      </c>
      <c r="K191" s="41">
        <f t="shared" si="49"/>
        <v>-0.13088583268211895</v>
      </c>
      <c r="L191" s="77"/>
    </row>
    <row r="192" spans="2:12" x14ac:dyDescent="0.25">
      <c r="B192" s="280"/>
      <c r="C192" s="286"/>
      <c r="D192" s="4" t="s">
        <v>51</v>
      </c>
      <c r="E192" s="41">
        <f t="shared" si="48"/>
        <v>2.437843193922629</v>
      </c>
      <c r="F192" s="41">
        <f t="shared" si="48"/>
        <v>2.4937806482478173</v>
      </c>
      <c r="G192" s="41">
        <f t="shared" si="48"/>
        <v>2.6756725259784404</v>
      </c>
      <c r="H192" s="41">
        <f t="shared" si="48"/>
        <v>2.5505786061867015</v>
      </c>
      <c r="I192" s="41">
        <f t="shared" si="48"/>
        <v>2.6538649194953647</v>
      </c>
      <c r="J192" s="83">
        <f t="shared" si="38"/>
        <v>4.0495248042201615E-2</v>
      </c>
      <c r="K192" s="41">
        <f t="shared" si="49"/>
        <v>0.10328631330866322</v>
      </c>
      <c r="L192" s="77"/>
    </row>
    <row r="193" spans="2:12" x14ac:dyDescent="0.25">
      <c r="B193" s="280"/>
      <c r="C193" s="286"/>
      <c r="D193" s="4" t="s">
        <v>52</v>
      </c>
      <c r="E193" s="41">
        <f t="shared" si="48"/>
        <v>5.7058231246853497</v>
      </c>
      <c r="F193" s="41">
        <f t="shared" si="48"/>
        <v>6.9720730697289195</v>
      </c>
      <c r="G193" s="41">
        <f t="shared" si="48"/>
        <v>6.6176102336667117</v>
      </c>
      <c r="H193" s="41">
        <f t="shared" si="48"/>
        <v>5.729361648217651</v>
      </c>
      <c r="I193" s="41">
        <f t="shared" si="48"/>
        <v>6.0770157142498729</v>
      </c>
      <c r="J193" s="83">
        <f t="shared" si="38"/>
        <v>6.0679371870402621E-2</v>
      </c>
      <c r="K193" s="41">
        <f t="shared" si="49"/>
        <v>0.34765406603222182</v>
      </c>
      <c r="L193" s="77"/>
    </row>
    <row r="194" spans="2:12" x14ac:dyDescent="0.25">
      <c r="B194" s="280"/>
      <c r="C194" s="286"/>
      <c r="D194" s="4" t="s">
        <v>53</v>
      </c>
      <c r="E194" s="41">
        <f t="shared" si="48"/>
        <v>2.0931353607171839</v>
      </c>
      <c r="F194" s="41">
        <f t="shared" si="48"/>
        <v>2.1866149593931499</v>
      </c>
      <c r="G194" s="41">
        <f t="shared" si="48"/>
        <v>2.3720011696365835</v>
      </c>
      <c r="H194" s="41">
        <f t="shared" si="48"/>
        <v>2.410875374829053</v>
      </c>
      <c r="I194" s="41">
        <f t="shared" si="48"/>
        <v>2.328977841201255</v>
      </c>
      <c r="J194" s="83">
        <f t="shared" si="38"/>
        <v>-3.3970040294432513E-2</v>
      </c>
      <c r="K194" s="41">
        <f t="shared" si="49"/>
        <v>-8.1897533627798058E-2</v>
      </c>
      <c r="L194" s="77"/>
    </row>
    <row r="195" spans="2:12" x14ac:dyDescent="0.25">
      <c r="B195" s="280"/>
      <c r="C195" s="286"/>
      <c r="D195" s="4" t="s">
        <v>54</v>
      </c>
      <c r="E195" s="41">
        <f t="shared" si="48"/>
        <v>6.3173322576307651</v>
      </c>
      <c r="F195" s="41">
        <f t="shared" si="48"/>
        <v>5.5219885141008653</v>
      </c>
      <c r="G195" s="41">
        <f t="shared" si="48"/>
        <v>6.81836284648623</v>
      </c>
      <c r="H195" s="41">
        <f t="shared" si="48"/>
        <v>6.7723569064660403</v>
      </c>
      <c r="I195" s="41">
        <f t="shared" si="48"/>
        <v>6.910044821236232</v>
      </c>
      <c r="J195" s="31">
        <f t="shared" si="38"/>
        <v>2.0330871020505681E-2</v>
      </c>
      <c r="K195" s="41">
        <f t="shared" si="49"/>
        <v>0.13768791477019171</v>
      </c>
      <c r="L195" s="42"/>
    </row>
    <row r="196" spans="2:12" x14ac:dyDescent="0.25">
      <c r="B196" s="280"/>
      <c r="C196" s="287"/>
      <c r="D196" s="32" t="s">
        <v>55</v>
      </c>
      <c r="E196" s="79">
        <f t="shared" si="48"/>
        <v>5.4171790443293037</v>
      </c>
      <c r="F196" s="79">
        <f t="shared" si="48"/>
        <v>4.4508400617018022</v>
      </c>
      <c r="G196" s="79">
        <f t="shared" si="48"/>
        <v>5.585586474869209</v>
      </c>
      <c r="H196" s="79">
        <f t="shared" si="48"/>
        <v>6.340078572704102</v>
      </c>
      <c r="I196" s="79">
        <f t="shared" si="48"/>
        <v>5.7295922738424396</v>
      </c>
      <c r="J196" s="74">
        <f t="shared" si="38"/>
        <v>-9.6290020992797265E-2</v>
      </c>
      <c r="K196" s="79">
        <f t="shared" si="49"/>
        <v>-0.61048629886166239</v>
      </c>
      <c r="L196" s="56"/>
    </row>
    <row r="197" spans="2:12" x14ac:dyDescent="0.25">
      <c r="B197" s="280"/>
      <c r="C197" s="288" t="s">
        <v>36</v>
      </c>
      <c r="D197" s="67" t="s">
        <v>45</v>
      </c>
      <c r="E197" s="69">
        <v>0.42151592636549812</v>
      </c>
      <c r="F197" s="69">
        <v>0.46071549284573426</v>
      </c>
      <c r="G197" s="69">
        <v>0.69548218463868861</v>
      </c>
      <c r="H197" s="69">
        <v>0.75317428421984389</v>
      </c>
      <c r="I197" s="69">
        <v>0.77369971345652855</v>
      </c>
      <c r="J197" s="69">
        <f t="shared" si="38"/>
        <v>2.725189861991284E-2</v>
      </c>
      <c r="K197" s="75">
        <f>(I197-H197)*100</f>
        <v>2.0525429236684656</v>
      </c>
      <c r="L197" s="69"/>
    </row>
    <row r="198" spans="2:12" x14ac:dyDescent="0.25">
      <c r="B198" s="280"/>
      <c r="C198" s="289"/>
      <c r="D198" s="15" t="s">
        <v>46</v>
      </c>
      <c r="E198" s="18">
        <v>0.49563348888170433</v>
      </c>
      <c r="F198" s="18">
        <v>0.53007392392769836</v>
      </c>
      <c r="G198" s="18">
        <v>0.78235212112064911</v>
      </c>
      <c r="H198" s="18">
        <v>0.81120905005064936</v>
      </c>
      <c r="I198" s="18">
        <v>0.81280076010742186</v>
      </c>
      <c r="J198" s="18">
        <f t="shared" si="38"/>
        <v>1.9621453393217081E-3</v>
      </c>
      <c r="K198" s="44">
        <f t="shared" ref="K198" si="50">(I198-H198)*100</f>
        <v>0.15917100567724995</v>
      </c>
      <c r="L198" s="18"/>
    </row>
    <row r="199" spans="2:12" x14ac:dyDescent="0.25">
      <c r="B199" s="280"/>
      <c r="C199" s="289"/>
      <c r="D199" s="19" t="s">
        <v>47</v>
      </c>
      <c r="E199" s="63">
        <v>0.41641203353334449</v>
      </c>
      <c r="F199" s="63">
        <v>0.38237984856351559</v>
      </c>
      <c r="G199" s="63">
        <v>0.63514820255836268</v>
      </c>
      <c r="H199" s="63">
        <v>0.71202240207954559</v>
      </c>
      <c r="I199" s="63">
        <v>0.72327549742346608</v>
      </c>
      <c r="J199" s="63">
        <f t="shared" si="38"/>
        <v>1.5804411927285544E-2</v>
      </c>
      <c r="K199" s="46">
        <f>(I199-H199)*100</f>
        <v>1.1253095343920494</v>
      </c>
      <c r="L199" s="63"/>
    </row>
    <row r="200" spans="2:12" x14ac:dyDescent="0.25">
      <c r="B200" s="280"/>
      <c r="C200" s="289"/>
      <c r="D200" s="19" t="s">
        <v>48</v>
      </c>
      <c r="E200" s="63">
        <v>0.42174668708366447</v>
      </c>
      <c r="F200" s="63">
        <v>0.40408330264719122</v>
      </c>
      <c r="G200" s="63">
        <v>0.53778304538949095</v>
      </c>
      <c r="H200" s="63">
        <v>0.55454348826086564</v>
      </c>
      <c r="I200" s="63">
        <v>0.59082327086406716</v>
      </c>
      <c r="J200" s="63">
        <f t="shared" si="38"/>
        <v>6.5422790766113792E-2</v>
      </c>
      <c r="K200" s="46">
        <f t="shared" ref="K200:K207" si="51">(I200-H200)*100</f>
        <v>3.6279782603201527</v>
      </c>
      <c r="L200" s="63"/>
    </row>
    <row r="201" spans="2:12" x14ac:dyDescent="0.25">
      <c r="B201" s="280"/>
      <c r="C201" s="289"/>
      <c r="D201" s="19" t="s">
        <v>49</v>
      </c>
      <c r="E201" s="63">
        <v>0.31148476369141237</v>
      </c>
      <c r="F201" s="63">
        <v>0.28621210694206145</v>
      </c>
      <c r="G201" s="63">
        <v>0.60938004840462912</v>
      </c>
      <c r="H201" s="63">
        <v>0.6452598187198163</v>
      </c>
      <c r="I201" s="63">
        <v>0.84038066713662607</v>
      </c>
      <c r="J201" s="63">
        <f t="shared" si="38"/>
        <v>0.30239113416968366</v>
      </c>
      <c r="K201" s="46">
        <f t="shared" si="51"/>
        <v>19.512084841680977</v>
      </c>
      <c r="L201" s="63"/>
    </row>
    <row r="202" spans="2:12" x14ac:dyDescent="0.25">
      <c r="B202" s="280"/>
      <c r="C202" s="289"/>
      <c r="D202" s="19" t="s">
        <v>50</v>
      </c>
      <c r="E202" s="63">
        <v>0.48948502261743165</v>
      </c>
      <c r="F202" s="63">
        <v>0.48615455783025679</v>
      </c>
      <c r="G202" s="63">
        <v>0.6493275173640638</v>
      </c>
      <c r="H202" s="63">
        <v>0.73071425433679682</v>
      </c>
      <c r="I202" s="63">
        <v>0.78531451498170857</v>
      </c>
      <c r="J202" s="63">
        <f t="shared" si="38"/>
        <v>7.4721767532053285E-2</v>
      </c>
      <c r="K202" s="46">
        <f t="shared" si="51"/>
        <v>5.4600260644911742</v>
      </c>
      <c r="L202" s="63"/>
    </row>
    <row r="203" spans="2:12" x14ac:dyDescent="0.25">
      <c r="B203" s="280"/>
      <c r="C203" s="289"/>
      <c r="D203" s="19" t="s">
        <v>51</v>
      </c>
      <c r="E203" s="63">
        <v>0.5147906295498732</v>
      </c>
      <c r="F203" s="63">
        <v>0.42945341263098274</v>
      </c>
      <c r="G203" s="63">
        <v>0.57741590694750078</v>
      </c>
      <c r="H203" s="63">
        <v>0.61259601883208059</v>
      </c>
      <c r="I203" s="63">
        <v>0.6183064169082243</v>
      </c>
      <c r="J203" s="63">
        <f t="shared" si="38"/>
        <v>9.3216375892071213E-3</v>
      </c>
      <c r="K203" s="46">
        <f t="shared" si="51"/>
        <v>0.57103980761437079</v>
      </c>
      <c r="L203" s="63"/>
    </row>
    <row r="204" spans="2:12" x14ac:dyDescent="0.25">
      <c r="B204" s="280"/>
      <c r="C204" s="289"/>
      <c r="D204" s="19" t="s">
        <v>52</v>
      </c>
      <c r="E204" s="63">
        <v>0.60407891607923314</v>
      </c>
      <c r="F204" s="63">
        <v>0.70336128458075009</v>
      </c>
      <c r="G204" s="63">
        <v>0.8015089072176752</v>
      </c>
      <c r="H204" s="63">
        <v>0.82779844332469787</v>
      </c>
      <c r="I204" s="63">
        <v>0.82775664662909765</v>
      </c>
      <c r="J204" s="63">
        <f t="shared" si="38"/>
        <v>-5.0491391880846948E-5</v>
      </c>
      <c r="K204" s="46">
        <f t="shared" si="51"/>
        <v>-4.1796695600226919E-3</v>
      </c>
      <c r="L204" s="63"/>
    </row>
    <row r="205" spans="2:12" x14ac:dyDescent="0.25">
      <c r="B205" s="280"/>
      <c r="C205" s="289"/>
      <c r="D205" s="19" t="s">
        <v>53</v>
      </c>
      <c r="E205" s="63">
        <v>0.43917828766012645</v>
      </c>
      <c r="F205" s="63">
        <v>0.43287194104141685</v>
      </c>
      <c r="G205" s="63">
        <v>0.55540181632567553</v>
      </c>
      <c r="H205" s="63">
        <v>0.56942335787332776</v>
      </c>
      <c r="I205" s="63">
        <v>0.58812285219043858</v>
      </c>
      <c r="J205" s="63">
        <f t="shared" si="38"/>
        <v>3.283935240547442E-2</v>
      </c>
      <c r="K205" s="46">
        <f t="shared" si="51"/>
        <v>1.8699494317110821</v>
      </c>
      <c r="L205" s="63"/>
    </row>
    <row r="206" spans="2:12" x14ac:dyDescent="0.25">
      <c r="B206" s="280"/>
      <c r="C206" s="289"/>
      <c r="D206" s="19" t="s">
        <v>54</v>
      </c>
      <c r="E206" s="63">
        <v>0.49125694136118242</v>
      </c>
      <c r="F206" s="63">
        <v>0.48201408869433904</v>
      </c>
      <c r="G206" s="63">
        <v>0.74892677369097149</v>
      </c>
      <c r="H206" s="63">
        <v>0.81331329152256404</v>
      </c>
      <c r="I206" s="63">
        <v>0.84524916570756325</v>
      </c>
      <c r="J206" s="63">
        <f t="shared" si="38"/>
        <v>3.9266386665357089E-2</v>
      </c>
      <c r="K206" s="46">
        <f t="shared" si="51"/>
        <v>3.1935874184999213</v>
      </c>
      <c r="L206" s="22"/>
    </row>
    <row r="207" spans="2:12" x14ac:dyDescent="0.25">
      <c r="B207" s="280"/>
      <c r="C207" s="290"/>
      <c r="D207" s="23" t="s">
        <v>55</v>
      </c>
      <c r="E207" s="63">
        <v>0.36139382757206262</v>
      </c>
      <c r="F207" s="63">
        <v>0.30640431884692987</v>
      </c>
      <c r="G207" s="63">
        <v>0.53127749995092155</v>
      </c>
      <c r="H207" s="63">
        <v>0.69652045193105105</v>
      </c>
      <c r="I207" s="63">
        <v>0.64923634412435949</v>
      </c>
      <c r="J207" s="63">
        <f t="shared" si="38"/>
        <v>-6.788617286915255E-2</v>
      </c>
      <c r="K207" s="46">
        <f t="shared" si="51"/>
        <v>-4.7284107806691562</v>
      </c>
      <c r="L207" s="47"/>
    </row>
    <row r="208" spans="2:12" x14ac:dyDescent="0.25">
      <c r="B208" s="280"/>
      <c r="C208" s="291" t="s">
        <v>59</v>
      </c>
      <c r="D208" s="67" t="s">
        <v>45</v>
      </c>
      <c r="E208" s="68">
        <v>66601</v>
      </c>
      <c r="F208" s="68">
        <v>82456</v>
      </c>
      <c r="G208" s="68">
        <v>123696</v>
      </c>
      <c r="H208" s="68">
        <v>125536</v>
      </c>
      <c r="I208" s="68">
        <v>127400</v>
      </c>
      <c r="J208" s="69">
        <f t="shared" si="38"/>
        <v>1.4848330359418904E-2</v>
      </c>
      <c r="K208" s="68">
        <f t="shared" ref="K208:K209" si="52">I208-H208</f>
        <v>1864</v>
      </c>
      <c r="L208" s="69">
        <f t="shared" ref="L208:L218" si="53">I208/$I$208</f>
        <v>1</v>
      </c>
    </row>
    <row r="209" spans="2:12" x14ac:dyDescent="0.25">
      <c r="B209" s="280"/>
      <c r="C209" s="286"/>
      <c r="D209" s="26" t="s">
        <v>46</v>
      </c>
      <c r="E209" s="27">
        <v>23742</v>
      </c>
      <c r="F209" s="27">
        <v>29697</v>
      </c>
      <c r="G209" s="27">
        <v>44233</v>
      </c>
      <c r="H209" s="27">
        <v>45902</v>
      </c>
      <c r="I209" s="27">
        <v>46521</v>
      </c>
      <c r="J209" s="36">
        <f t="shared" si="38"/>
        <v>1.3485251187312031E-2</v>
      </c>
      <c r="K209" s="27">
        <f t="shared" si="52"/>
        <v>619</v>
      </c>
      <c r="L209" s="38">
        <f t="shared" si="53"/>
        <v>0.3651569858712716</v>
      </c>
    </row>
    <row r="210" spans="2:12" x14ac:dyDescent="0.25">
      <c r="B210" s="280"/>
      <c r="C210" s="286"/>
      <c r="D210" s="4" t="s">
        <v>47</v>
      </c>
      <c r="E210" s="29">
        <v>20336</v>
      </c>
      <c r="F210" s="29">
        <v>24064</v>
      </c>
      <c r="G210" s="29">
        <v>38225</v>
      </c>
      <c r="H210" s="29">
        <v>37475</v>
      </c>
      <c r="I210" s="29">
        <v>37833</v>
      </c>
      <c r="J210" s="76">
        <f t="shared" si="38"/>
        <v>9.55303535690466E-3</v>
      </c>
      <c r="K210" s="29">
        <f>I210-H210</f>
        <v>358</v>
      </c>
      <c r="L210" s="77">
        <f t="shared" si="53"/>
        <v>0.29696232339089484</v>
      </c>
    </row>
    <row r="211" spans="2:12" x14ac:dyDescent="0.25">
      <c r="B211" s="280"/>
      <c r="C211" s="286"/>
      <c r="D211" s="4" t="s">
        <v>48</v>
      </c>
      <c r="E211" s="29">
        <v>437</v>
      </c>
      <c r="F211" s="29">
        <v>669</v>
      </c>
      <c r="G211" s="29">
        <v>857</v>
      </c>
      <c r="H211" s="29">
        <v>900</v>
      </c>
      <c r="I211" s="29">
        <v>900</v>
      </c>
      <c r="J211" s="76">
        <f t="shared" si="38"/>
        <v>0</v>
      </c>
      <c r="K211" s="29">
        <f t="shared" ref="K211:K218" si="54">I211-H211</f>
        <v>0</v>
      </c>
      <c r="L211" s="77">
        <f t="shared" si="53"/>
        <v>7.0643642072213504E-3</v>
      </c>
    </row>
    <row r="212" spans="2:12" x14ac:dyDescent="0.25">
      <c r="B212" s="280"/>
      <c r="C212" s="286"/>
      <c r="D212" s="4" t="s">
        <v>49</v>
      </c>
      <c r="E212" s="29">
        <v>2900</v>
      </c>
      <c r="F212" s="29">
        <v>4012</v>
      </c>
      <c r="G212" s="29">
        <v>4562</v>
      </c>
      <c r="H212" s="29">
        <v>4395</v>
      </c>
      <c r="I212" s="29">
        <v>4427</v>
      </c>
      <c r="J212" s="76">
        <f t="shared" si="38"/>
        <v>7.2810011376565065E-3</v>
      </c>
      <c r="K212" s="29">
        <f t="shared" si="54"/>
        <v>32</v>
      </c>
      <c r="L212" s="77">
        <f t="shared" si="53"/>
        <v>3.4748822605965464E-2</v>
      </c>
    </row>
    <row r="213" spans="2:12" x14ac:dyDescent="0.25">
      <c r="B213" s="280"/>
      <c r="C213" s="286"/>
      <c r="D213" s="4" t="s">
        <v>50</v>
      </c>
      <c r="E213" s="29">
        <v>9244</v>
      </c>
      <c r="F213" s="29">
        <v>11050</v>
      </c>
      <c r="G213" s="29">
        <v>18364</v>
      </c>
      <c r="H213" s="29">
        <v>19209</v>
      </c>
      <c r="I213" s="29">
        <v>20011</v>
      </c>
      <c r="J213" s="76">
        <f t="shared" si="38"/>
        <v>4.175126242906968E-2</v>
      </c>
      <c r="K213" s="29">
        <f t="shared" si="54"/>
        <v>802</v>
      </c>
      <c r="L213" s="77">
        <f t="shared" si="53"/>
        <v>0.15707221350078493</v>
      </c>
    </row>
    <row r="214" spans="2:12" x14ac:dyDescent="0.25">
      <c r="B214" s="280"/>
      <c r="C214" s="286"/>
      <c r="D214" s="4" t="s">
        <v>51</v>
      </c>
      <c r="E214" s="29">
        <v>339</v>
      </c>
      <c r="F214" s="29">
        <v>532</v>
      </c>
      <c r="G214" s="29">
        <v>654</v>
      </c>
      <c r="H214" s="29">
        <v>663</v>
      </c>
      <c r="I214" s="29">
        <v>673</v>
      </c>
      <c r="J214" s="76">
        <f t="shared" si="38"/>
        <v>1.5082956259426794E-2</v>
      </c>
      <c r="K214" s="29">
        <f t="shared" si="54"/>
        <v>10</v>
      </c>
      <c r="L214" s="77">
        <f t="shared" si="53"/>
        <v>5.2825745682888543E-3</v>
      </c>
    </row>
    <row r="215" spans="2:12" x14ac:dyDescent="0.25">
      <c r="B215" s="280"/>
      <c r="C215" s="286"/>
      <c r="D215" s="4" t="s">
        <v>52</v>
      </c>
      <c r="E215" s="29">
        <v>2132</v>
      </c>
      <c r="F215" s="29">
        <v>2908</v>
      </c>
      <c r="G215" s="29">
        <v>4497</v>
      </c>
      <c r="H215" s="29">
        <v>4790</v>
      </c>
      <c r="I215" s="29">
        <v>4797</v>
      </c>
      <c r="J215" s="76">
        <f t="shared" si="38"/>
        <v>1.4613778705636626E-3</v>
      </c>
      <c r="K215" s="29">
        <f t="shared" si="54"/>
        <v>7</v>
      </c>
      <c r="L215" s="77">
        <f t="shared" si="53"/>
        <v>3.7653061224489796E-2</v>
      </c>
    </row>
    <row r="216" spans="2:12" x14ac:dyDescent="0.25">
      <c r="B216" s="280"/>
      <c r="C216" s="286"/>
      <c r="D216" s="4" t="s">
        <v>53</v>
      </c>
      <c r="E216" s="29">
        <v>1526</v>
      </c>
      <c r="F216" s="29">
        <v>2270</v>
      </c>
      <c r="G216" s="29">
        <v>2680</v>
      </c>
      <c r="H216" s="29">
        <v>2774</v>
      </c>
      <c r="I216" s="29">
        <v>2714</v>
      </c>
      <c r="J216" s="76">
        <f t="shared" si="38"/>
        <v>-2.1629416005767843E-2</v>
      </c>
      <c r="K216" s="29">
        <f t="shared" si="54"/>
        <v>-60</v>
      </c>
      <c r="L216" s="77">
        <f t="shared" si="53"/>
        <v>2.1302982731554159E-2</v>
      </c>
    </row>
    <row r="217" spans="2:12" x14ac:dyDescent="0.25">
      <c r="B217" s="280"/>
      <c r="C217" s="286"/>
      <c r="D217" s="4" t="s">
        <v>54</v>
      </c>
      <c r="E217" s="29">
        <v>3786</v>
      </c>
      <c r="F217" s="29">
        <v>4393</v>
      </c>
      <c r="G217" s="29">
        <v>6413</v>
      </c>
      <c r="H217" s="29">
        <v>6356</v>
      </c>
      <c r="I217" s="29">
        <v>6429</v>
      </c>
      <c r="J217" s="40">
        <f t="shared" si="38"/>
        <v>1.1485210824417891E-2</v>
      </c>
      <c r="K217" s="29">
        <f t="shared" si="54"/>
        <v>73</v>
      </c>
      <c r="L217" s="42">
        <f t="shared" si="53"/>
        <v>5.0463108320251179E-2</v>
      </c>
    </row>
    <row r="218" spans="2:12" x14ac:dyDescent="0.25">
      <c r="B218" s="281"/>
      <c r="C218" s="287"/>
      <c r="D218" s="32" t="s">
        <v>55</v>
      </c>
      <c r="E218" s="73">
        <v>2158</v>
      </c>
      <c r="F218" s="73">
        <v>2862</v>
      </c>
      <c r="G218" s="73">
        <v>3212</v>
      </c>
      <c r="H218" s="73">
        <v>3072</v>
      </c>
      <c r="I218" s="73">
        <v>3096</v>
      </c>
      <c r="J218" s="65">
        <f t="shared" si="38"/>
        <v>7.8125E-3</v>
      </c>
      <c r="K218" s="73">
        <f t="shared" si="54"/>
        <v>24</v>
      </c>
      <c r="L218" s="56">
        <f t="shared" si="53"/>
        <v>2.4301412872841443E-2</v>
      </c>
    </row>
    <row r="219" spans="2:12" x14ac:dyDescent="0.25">
      <c r="B219" s="294"/>
      <c r="C219" s="294"/>
      <c r="D219" s="294"/>
      <c r="E219" s="294"/>
      <c r="F219" s="294"/>
      <c r="G219" s="294"/>
      <c r="H219" s="294"/>
      <c r="I219" s="294"/>
      <c r="J219" s="294"/>
      <c r="K219" s="294"/>
      <c r="L219" s="48"/>
    </row>
    <row r="220" spans="2:12" x14ac:dyDescent="0.25">
      <c r="B220" s="296" t="s">
        <v>57</v>
      </c>
      <c r="C220" s="296"/>
      <c r="D220" s="296"/>
      <c r="E220" s="296"/>
      <c r="F220" s="296"/>
      <c r="G220" s="296"/>
      <c r="H220" s="296"/>
      <c r="I220" s="296"/>
      <c r="J220" s="296"/>
      <c r="K220" s="296"/>
    </row>
  </sheetData>
  <mergeCells count="30">
    <mergeCell ref="B219:K219"/>
    <mergeCell ref="B220:K220"/>
    <mergeCell ref="B146:K146"/>
    <mergeCell ref="B147:K147"/>
    <mergeCell ref="B150:K150"/>
    <mergeCell ref="B153:B218"/>
    <mergeCell ref="C153:C163"/>
    <mergeCell ref="C164:C174"/>
    <mergeCell ref="C175:C185"/>
    <mergeCell ref="C186:C196"/>
    <mergeCell ref="C197:C207"/>
    <mergeCell ref="C208:C218"/>
    <mergeCell ref="B73:K73"/>
    <mergeCell ref="B74:K74"/>
    <mergeCell ref="B77:K77"/>
    <mergeCell ref="B80:B145"/>
    <mergeCell ref="C80:C90"/>
    <mergeCell ref="C91:C101"/>
    <mergeCell ref="C102:C112"/>
    <mergeCell ref="C113:C123"/>
    <mergeCell ref="C124:C134"/>
    <mergeCell ref="C135:C145"/>
    <mergeCell ref="D1:L2"/>
    <mergeCell ref="B7:B72"/>
    <mergeCell ref="C7:C17"/>
    <mergeCell ref="C18:C28"/>
    <mergeCell ref="C29:C39"/>
    <mergeCell ref="C40:C50"/>
    <mergeCell ref="C51:C61"/>
    <mergeCell ref="C62:C72"/>
  </mergeCells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D28F19-56C4-4214-A062-2CA15866D98E}">
  <sheetPr>
    <tabColor theme="4" tint="0.79998168889431442"/>
  </sheetPr>
  <dimension ref="A1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1" spans="1:15" x14ac:dyDescent="0.25">
      <c r="D1" t="s">
        <v>229</v>
      </c>
      <c r="E1" t="s">
        <v>229</v>
      </c>
      <c r="G1" t="s">
        <v>229</v>
      </c>
    </row>
    <row r="4" spans="1:15" ht="48.75" customHeight="1" thickBot="1" x14ac:dyDescent="0.3">
      <c r="B4" s="278" t="s">
        <v>285</v>
      </c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3" t="s">
        <v>70</v>
      </c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</row>
    <row r="7" spans="1:15" ht="22.5" thickTop="1" thickBot="1" x14ac:dyDescent="0.3">
      <c r="B7" s="111"/>
      <c r="C7" s="305">
        <v>2020</v>
      </c>
      <c r="D7" s="306"/>
      <c r="E7" s="307">
        <v>2021</v>
      </c>
      <c r="F7" s="306"/>
      <c r="G7" s="307">
        <v>2022</v>
      </c>
      <c r="H7" s="306"/>
      <c r="I7" s="307">
        <v>2023</v>
      </c>
      <c r="J7" s="306"/>
      <c r="K7" s="307">
        <v>2024</v>
      </c>
      <c r="L7" s="306"/>
      <c r="M7" s="307">
        <v>2025</v>
      </c>
      <c r="N7" s="308"/>
    </row>
    <row r="8" spans="1:15" ht="16.5" thickTop="1" thickBot="1" x14ac:dyDescent="0.3">
      <c r="B8" s="87"/>
      <c r="C8" s="115" t="s">
        <v>71</v>
      </c>
      <c r="D8" s="116" t="str">
        <f>CONCATENATE("dif ",RIGHT(C7,2),"/",RIGHT(C7-1,2))</f>
        <v>dif 20/19</v>
      </c>
      <c r="E8" s="117" t="s">
        <v>71</v>
      </c>
      <c r="F8" s="116" t="str">
        <f>CONCATENATE("dif ",RIGHT(E7,2),"/",RIGHT(C7,2))</f>
        <v>dif 21/20</v>
      </c>
      <c r="G8" s="117" t="s">
        <v>71</v>
      </c>
      <c r="H8" s="116" t="str">
        <f>CONCATENATE("dif ",RIGHT(G7,2),"/",RIGHT(E7,2))</f>
        <v>dif 22/21</v>
      </c>
      <c r="I8" s="117" t="s">
        <v>71</v>
      </c>
      <c r="J8" s="116" t="str">
        <f>CONCATENATE("dif ",RIGHT(I7,2),"/",RIGHT(G7,2))</f>
        <v>dif 23/22</v>
      </c>
      <c r="K8" s="117" t="s">
        <v>71</v>
      </c>
      <c r="L8" s="116" t="str">
        <f>CONCATENATE("dif ",RIGHT(K7,2),"/",RIGHT(I7,2))</f>
        <v>dif 24/23</v>
      </c>
      <c r="M8" s="117" t="s">
        <v>71</v>
      </c>
      <c r="N8" s="116" t="str">
        <f>CONCATENATE("dif ",RIGHT(M7,2),"/",RIGHT(K7,2))</f>
        <v>dif 25/24</v>
      </c>
    </row>
    <row r="9" spans="1:15" x14ac:dyDescent="0.25">
      <c r="A9" s="1" t="s">
        <v>72</v>
      </c>
      <c r="B9" s="118" t="s">
        <v>73</v>
      </c>
      <c r="C9" s="188">
        <v>2.2460468058191019</v>
      </c>
      <c r="D9" s="189">
        <v>-0.19145623509949861</v>
      </c>
      <c r="E9" s="188">
        <v>1.9022445982798406</v>
      </c>
      <c r="F9" s="189">
        <f t="shared" ref="F9:J21" si="0">IFERROR(E9-C9,"-")</f>
        <v>-0.34380220753926127</v>
      </c>
      <c r="G9" s="188">
        <v>2.8322493991234272</v>
      </c>
      <c r="H9" s="189">
        <f t="shared" si="0"/>
        <v>0.93000480084358661</v>
      </c>
      <c r="I9" s="188">
        <v>2.5235291626074803</v>
      </c>
      <c r="J9" s="189">
        <f t="shared" si="0"/>
        <v>-0.30872023651594693</v>
      </c>
      <c r="K9" s="188">
        <v>2.6250052373570201</v>
      </c>
      <c r="L9" s="189">
        <f t="shared" ref="L9:L21" si="1">IFERROR(K9-I9,"-")</f>
        <v>0.10147607474953979</v>
      </c>
      <c r="M9" s="188">
        <v>2.3200146329566702</v>
      </c>
      <c r="N9" s="189">
        <f t="shared" ref="N9:N14" si="2">IFERROR(M9-K9,"-")</f>
        <v>-0.30499060440034986</v>
      </c>
    </row>
    <row r="10" spans="1:15" x14ac:dyDescent="0.25">
      <c r="A10" s="1" t="s">
        <v>74</v>
      </c>
      <c r="B10" s="118" t="s">
        <v>75</v>
      </c>
      <c r="C10" s="188">
        <v>2.2190549563430921</v>
      </c>
      <c r="D10" s="189">
        <v>-4.0345875039200507E-2</v>
      </c>
      <c r="E10" s="188">
        <v>1.8830991170252456</v>
      </c>
      <c r="F10" s="189">
        <f t="shared" si="0"/>
        <v>-0.33595583931784656</v>
      </c>
      <c r="G10" s="188">
        <v>2.4567090685268771</v>
      </c>
      <c r="H10" s="189">
        <f t="shared" si="0"/>
        <v>0.57360995150163152</v>
      </c>
      <c r="I10" s="188">
        <v>2.2917233809001099</v>
      </c>
      <c r="J10" s="189">
        <f t="shared" si="0"/>
        <v>-0.16498568762676724</v>
      </c>
      <c r="K10" s="188">
        <v>2.4732375690607733</v>
      </c>
      <c r="L10" s="189">
        <f t="shared" si="1"/>
        <v>0.18151418816066345</v>
      </c>
      <c r="M10" s="188">
        <v>2.1117708416914067</v>
      </c>
      <c r="N10" s="189">
        <f t="shared" si="2"/>
        <v>-0.36146672736936658</v>
      </c>
    </row>
    <row r="11" spans="1:15" x14ac:dyDescent="0.25">
      <c r="A11" s="1" t="s">
        <v>76</v>
      </c>
      <c r="B11" s="118" t="s">
        <v>77</v>
      </c>
      <c r="C11" s="188">
        <v>2.2663384064458372</v>
      </c>
      <c r="D11" s="189">
        <v>-2.2689676301075323E-3</v>
      </c>
      <c r="E11" s="188">
        <v>2.1653413498836307</v>
      </c>
      <c r="F11" s="189">
        <f t="shared" si="0"/>
        <v>-0.10099705656220648</v>
      </c>
      <c r="G11" s="188">
        <v>2.3488082178119076</v>
      </c>
      <c r="H11" s="189">
        <f t="shared" si="0"/>
        <v>0.18346686792827693</v>
      </c>
      <c r="I11" s="188">
        <v>2.3180265353142131</v>
      </c>
      <c r="J11" s="189">
        <f t="shared" si="0"/>
        <v>-3.0781682497694529E-2</v>
      </c>
      <c r="K11" s="188">
        <v>2.5529145444255801</v>
      </c>
      <c r="L11" s="189">
        <f t="shared" si="1"/>
        <v>0.23488800911136698</v>
      </c>
      <c r="M11" s="188">
        <v>2.1110739128817468</v>
      </c>
      <c r="N11" s="189">
        <f t="shared" si="2"/>
        <v>-0.44184063154383324</v>
      </c>
    </row>
    <row r="12" spans="1:15" x14ac:dyDescent="0.25">
      <c r="A12" s="1" t="s">
        <v>78</v>
      </c>
      <c r="B12" s="118" t="s">
        <v>79</v>
      </c>
      <c r="C12" s="188" t="s">
        <v>229</v>
      </c>
      <c r="D12" s="189" t="s">
        <v>229</v>
      </c>
      <c r="E12" s="188">
        <v>2.0378243201000314</v>
      </c>
      <c r="F12" s="189" t="str">
        <f t="shared" si="0"/>
        <v>-</v>
      </c>
      <c r="G12" s="188">
        <v>2.5104382929642446</v>
      </c>
      <c r="H12" s="189">
        <f t="shared" si="0"/>
        <v>0.47261397286421314</v>
      </c>
      <c r="I12" s="188">
        <v>2.2301869061292678</v>
      </c>
      <c r="J12" s="189">
        <f t="shared" si="0"/>
        <v>-0.28025138683497675</v>
      </c>
      <c r="K12" s="188">
        <v>2.4243523043775292</v>
      </c>
      <c r="L12" s="189">
        <f t="shared" si="1"/>
        <v>0.1941653982482614</v>
      </c>
      <c r="M12" s="188">
        <v>2.2593373927218678</v>
      </c>
      <c r="N12" s="189">
        <f t="shared" si="2"/>
        <v>-0.1650149116556614</v>
      </c>
    </row>
    <row r="13" spans="1:15" x14ac:dyDescent="0.25">
      <c r="A13" s="1" t="s">
        <v>80</v>
      </c>
      <c r="B13" s="118" t="s">
        <v>81</v>
      </c>
      <c r="C13" s="188" t="s">
        <v>229</v>
      </c>
      <c r="D13" s="189" t="s">
        <v>229</v>
      </c>
      <c r="E13" s="188">
        <v>1.9151056197688323</v>
      </c>
      <c r="F13" s="189" t="str">
        <f t="shared" si="0"/>
        <v>-</v>
      </c>
      <c r="G13" s="188">
        <v>2.4632700120786208</v>
      </c>
      <c r="H13" s="189">
        <f t="shared" si="0"/>
        <v>0.54816439230978853</v>
      </c>
      <c r="I13" s="188">
        <v>2.3830322688887646</v>
      </c>
      <c r="J13" s="189">
        <f t="shared" si="0"/>
        <v>-8.0237743189856214E-2</v>
      </c>
      <c r="K13" s="188">
        <v>2.197144331670394</v>
      </c>
      <c r="L13" s="189">
        <f t="shared" si="1"/>
        <v>-0.1858879372183706</v>
      </c>
      <c r="M13" s="188">
        <v>2.0151193633952253</v>
      </c>
      <c r="N13" s="189">
        <f t="shared" si="2"/>
        <v>-0.18202496827516867</v>
      </c>
    </row>
    <row r="14" spans="1:15" x14ac:dyDescent="0.25">
      <c r="A14" s="1" t="s">
        <v>82</v>
      </c>
      <c r="B14" s="118" t="s">
        <v>83</v>
      </c>
      <c r="C14" s="188" t="s">
        <v>229</v>
      </c>
      <c r="D14" s="189" t="s">
        <v>229</v>
      </c>
      <c r="E14" s="188">
        <v>1.9788051104054354</v>
      </c>
      <c r="F14" s="189" t="str">
        <f t="shared" si="0"/>
        <v>-</v>
      </c>
      <c r="G14" s="188">
        <v>2.2983870967741935</v>
      </c>
      <c r="H14" s="189">
        <f t="shared" si="0"/>
        <v>0.31958198636875812</v>
      </c>
      <c r="I14" s="188">
        <v>2.1486403825835509</v>
      </c>
      <c r="J14" s="189">
        <f t="shared" si="0"/>
        <v>-0.14974671419064256</v>
      </c>
      <c r="K14" s="188">
        <v>2.0572924688125673</v>
      </c>
      <c r="L14" s="189">
        <f t="shared" si="1"/>
        <v>-9.1347913770983613E-2</v>
      </c>
      <c r="M14" s="188">
        <v>2.0359794950414409</v>
      </c>
      <c r="N14" s="189">
        <f t="shared" si="2"/>
        <v>-2.1312973771126398E-2</v>
      </c>
    </row>
    <row r="15" spans="1:15" x14ac:dyDescent="0.25">
      <c r="A15" s="1" t="s">
        <v>84</v>
      </c>
      <c r="B15" s="118" t="s">
        <v>85</v>
      </c>
      <c r="C15" s="188" t="s">
        <v>229</v>
      </c>
      <c r="D15" s="189" t="s">
        <v>229</v>
      </c>
      <c r="E15" s="188">
        <v>2.1686345325739684</v>
      </c>
      <c r="F15" s="189" t="str">
        <f t="shared" si="0"/>
        <v>-</v>
      </c>
      <c r="G15" s="188">
        <v>2.3937399767737655</v>
      </c>
      <c r="H15" s="189">
        <f t="shared" si="0"/>
        <v>0.22510544419979706</v>
      </c>
      <c r="I15" s="188">
        <v>2.4037477691850091</v>
      </c>
      <c r="J15" s="189">
        <f t="shared" si="0"/>
        <v>1.000779241124361E-2</v>
      </c>
      <c r="K15" s="188">
        <v>2.0914386094674557</v>
      </c>
      <c r="L15" s="189">
        <f t="shared" si="1"/>
        <v>-0.31230915971755335</v>
      </c>
      <c r="M15" s="188"/>
      <c r="N15" s="189"/>
    </row>
    <row r="16" spans="1:15" x14ac:dyDescent="0.25">
      <c r="A16" s="1" t="s">
        <v>86</v>
      </c>
      <c r="B16" s="118" t="s">
        <v>87</v>
      </c>
      <c r="C16" s="188">
        <v>2.2469008264462809</v>
      </c>
      <c r="D16" s="189">
        <v>-0.55988522444910105</v>
      </c>
      <c r="E16" s="188">
        <v>2.5961220825852784</v>
      </c>
      <c r="F16" s="189">
        <f t="shared" si="0"/>
        <v>0.34922125613899757</v>
      </c>
      <c r="G16" s="188">
        <v>2.6865335051546393</v>
      </c>
      <c r="H16" s="189">
        <f t="shared" si="0"/>
        <v>9.0411422569360855E-2</v>
      </c>
      <c r="I16" s="188">
        <v>2.8928833455612621</v>
      </c>
      <c r="J16" s="189">
        <f t="shared" si="0"/>
        <v>0.20634984040662285</v>
      </c>
      <c r="K16" s="188">
        <v>2.8021182816919938</v>
      </c>
      <c r="L16" s="189">
        <f t="shared" si="1"/>
        <v>-9.0765063869268303E-2</v>
      </c>
      <c r="M16" s="188"/>
      <c r="N16" s="189"/>
    </row>
    <row r="17" spans="1:15" x14ac:dyDescent="0.25">
      <c r="A17" s="1" t="s">
        <v>88</v>
      </c>
      <c r="B17" s="118" t="s">
        <v>89</v>
      </c>
      <c r="C17" s="188">
        <v>1.9535228344335174</v>
      </c>
      <c r="D17" s="189">
        <v>-0.3270549544609298</v>
      </c>
      <c r="E17" s="188">
        <v>2.197656771687003</v>
      </c>
      <c r="F17" s="189">
        <f t="shared" si="0"/>
        <v>0.24413393725348564</v>
      </c>
      <c r="G17" s="188">
        <v>2.1155368505436143</v>
      </c>
      <c r="H17" s="189">
        <f t="shared" si="0"/>
        <v>-8.211992114338873E-2</v>
      </c>
      <c r="I17" s="188">
        <v>2.5199899579489111</v>
      </c>
      <c r="J17" s="189">
        <f t="shared" si="0"/>
        <v>0.40445310740529683</v>
      </c>
      <c r="K17" s="188">
        <v>2.2043213975583593</v>
      </c>
      <c r="L17" s="189">
        <f t="shared" si="1"/>
        <v>-0.3156685603905518</v>
      </c>
      <c r="M17" s="188"/>
      <c r="N17" s="189"/>
    </row>
    <row r="18" spans="1:15" x14ac:dyDescent="0.25">
      <c r="A18" s="1" t="s">
        <v>90</v>
      </c>
      <c r="B18" s="118" t="s">
        <v>91</v>
      </c>
      <c r="C18" s="188">
        <v>1.8614755861475587</v>
      </c>
      <c r="D18" s="189">
        <v>-0.28640683608299233</v>
      </c>
      <c r="E18" s="188">
        <v>2.1695147304903402</v>
      </c>
      <c r="F18" s="189">
        <f t="shared" si="0"/>
        <v>0.30803914434278146</v>
      </c>
      <c r="G18" s="188">
        <v>2.1997993799015139</v>
      </c>
      <c r="H18" s="189">
        <f t="shared" si="0"/>
        <v>3.0284649411173703E-2</v>
      </c>
      <c r="I18" s="188">
        <v>2.3996983408748114</v>
      </c>
      <c r="J18" s="189">
        <f t="shared" si="0"/>
        <v>0.19989896097329751</v>
      </c>
      <c r="K18" s="188">
        <v>2.2301287686818019</v>
      </c>
      <c r="L18" s="189">
        <f t="shared" si="1"/>
        <v>-0.1695695721930095</v>
      </c>
      <c r="M18" s="188"/>
      <c r="N18" s="189"/>
    </row>
    <row r="19" spans="1:15" x14ac:dyDescent="0.25">
      <c r="A19" s="1" t="s">
        <v>92</v>
      </c>
      <c r="B19" s="118" t="s">
        <v>93</v>
      </c>
      <c r="C19" s="188">
        <v>1.8271224086870681</v>
      </c>
      <c r="D19" s="189">
        <v>-0.37006458693202338</v>
      </c>
      <c r="E19" s="188">
        <v>2.1612137203166228</v>
      </c>
      <c r="F19" s="189">
        <f t="shared" si="0"/>
        <v>0.33409131162955474</v>
      </c>
      <c r="G19" s="188">
        <v>2.2195556611619343</v>
      </c>
      <c r="H19" s="189">
        <f t="shared" si="0"/>
        <v>5.8341940845311413E-2</v>
      </c>
      <c r="I19" s="188">
        <v>2.3657835805129506</v>
      </c>
      <c r="J19" s="189">
        <f t="shared" si="0"/>
        <v>0.14622791935101631</v>
      </c>
      <c r="K19" s="188">
        <v>2.1195535180386686</v>
      </c>
      <c r="L19" s="189">
        <f t="shared" si="1"/>
        <v>-0.24623006247428192</v>
      </c>
      <c r="M19" s="188"/>
      <c r="N19" s="189"/>
    </row>
    <row r="20" spans="1:15" x14ac:dyDescent="0.25">
      <c r="A20" s="1" t="s">
        <v>94</v>
      </c>
      <c r="B20" s="118" t="s">
        <v>95</v>
      </c>
      <c r="C20" s="188">
        <v>1.945705257110026</v>
      </c>
      <c r="D20" s="189">
        <v>-0.39368202004908115</v>
      </c>
      <c r="E20" s="188">
        <v>2.5686888669084516</v>
      </c>
      <c r="F20" s="189">
        <f t="shared" si="0"/>
        <v>0.6229836097984256</v>
      </c>
      <c r="G20" s="188">
        <v>2.2557062382641351</v>
      </c>
      <c r="H20" s="189">
        <f t="shared" si="0"/>
        <v>-0.31298262864431647</v>
      </c>
      <c r="I20" s="188">
        <v>2.5818146474218788</v>
      </c>
      <c r="J20" s="189">
        <f t="shared" si="0"/>
        <v>0.32610840915774375</v>
      </c>
      <c r="K20" s="188">
        <v>2.241869341020748</v>
      </c>
      <c r="L20" s="189">
        <f t="shared" si="1"/>
        <v>-0.33994530640113085</v>
      </c>
      <c r="M20" s="188"/>
      <c r="N20" s="189"/>
    </row>
    <row r="21" spans="1:15" ht="15.75" x14ac:dyDescent="0.25">
      <c r="A21" s="1" t="s">
        <v>0</v>
      </c>
      <c r="B21" s="121" t="s">
        <v>32</v>
      </c>
      <c r="C21" s="190">
        <v>2.0931353607171839</v>
      </c>
      <c r="D21" s="191">
        <v>-0.19090610651508255</v>
      </c>
      <c r="E21" s="190">
        <v>2.1866149593931499</v>
      </c>
      <c r="F21" s="191">
        <f t="shared" si="0"/>
        <v>9.3479598675966002E-2</v>
      </c>
      <c r="G21" s="190">
        <v>2.3720011696365835</v>
      </c>
      <c r="H21" s="191">
        <f t="shared" si="0"/>
        <v>0.1853862102434336</v>
      </c>
      <c r="I21" s="190">
        <v>2.410875374829053</v>
      </c>
      <c r="J21" s="191">
        <f t="shared" si="0"/>
        <v>3.8874205192469535E-2</v>
      </c>
      <c r="K21" s="190">
        <v>2.328977841201255</v>
      </c>
      <c r="L21" s="191">
        <f t="shared" si="1"/>
        <v>-8.1897533627798058E-2</v>
      </c>
      <c r="M21" s="190">
        <v>2.1431291337799534</v>
      </c>
      <c r="N21" s="191">
        <v>-0.2631702043908466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4"/>
      <c r="G24" s="124"/>
      <c r="I24" s="124"/>
      <c r="K24" s="124"/>
      <c r="N24" s="81"/>
    </row>
    <row r="26" spans="1:15" ht="59.25" customHeight="1" thickBot="1" x14ac:dyDescent="0.3">
      <c r="B26" s="278" t="s">
        <v>286</v>
      </c>
      <c r="C26" s="278"/>
      <c r="D26" s="278"/>
      <c r="E26" s="278"/>
      <c r="F26" s="278"/>
      <c r="G26" s="278"/>
      <c r="H26" s="278"/>
      <c r="I26" s="278"/>
      <c r="J26" s="278"/>
      <c r="K26" s="278"/>
      <c r="L26" s="278"/>
      <c r="M26" s="278"/>
      <c r="N26" s="278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5" t="s">
        <v>98</v>
      </c>
      <c r="C28" s="303" t="s">
        <v>99</v>
      </c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</row>
    <row r="29" spans="1:15" ht="22.5" thickTop="1" thickBot="1" x14ac:dyDescent="0.3">
      <c r="B29" s="111"/>
      <c r="C29" s="305">
        <v>2020</v>
      </c>
      <c r="D29" s="306"/>
      <c r="E29" s="307">
        <v>2021</v>
      </c>
      <c r="F29" s="306"/>
      <c r="G29" s="307">
        <v>2022</v>
      </c>
      <c r="H29" s="306"/>
      <c r="I29" s="307">
        <v>2023</v>
      </c>
      <c r="J29" s="306"/>
      <c r="K29" s="307">
        <v>2024</v>
      </c>
      <c r="L29" s="306"/>
      <c r="M29" s="307">
        <v>2025</v>
      </c>
      <c r="N29" s="308"/>
    </row>
    <row r="30" spans="1:15" ht="16.5" thickTop="1" thickBot="1" x14ac:dyDescent="0.3">
      <c r="B30" s="87"/>
      <c r="C30" s="115" t="s">
        <v>71</v>
      </c>
      <c r="D30" s="116" t="str">
        <f>CONCATENATE("dif ",RIGHT(C29,2),"/",RIGHT(C29-1,2))</f>
        <v>dif 20/19</v>
      </c>
      <c r="E30" s="117" t="s">
        <v>71</v>
      </c>
      <c r="F30" s="116" t="str">
        <f>CONCATENATE("dif ",RIGHT(E29,2),"/",RIGHT(C29,2))</f>
        <v>dif 21/20</v>
      </c>
      <c r="G30" s="117" t="s">
        <v>71</v>
      </c>
      <c r="H30" s="116" t="str">
        <f>CONCATENATE("dif ",RIGHT(G29,2),"/",RIGHT(E29,2))</f>
        <v>dif 22/21</v>
      </c>
      <c r="I30" s="117" t="s">
        <v>71</v>
      </c>
      <c r="J30" s="116" t="str">
        <f>CONCATENATE("dif ",RIGHT(I29,2),"/",RIGHT(G29,2))</f>
        <v>dif 23/22</v>
      </c>
      <c r="K30" s="117" t="s">
        <v>71</v>
      </c>
      <c r="L30" s="116" t="str">
        <f>CONCATENATE("dif ",RIGHT(K29,2),"/",RIGHT(I29,2))</f>
        <v>dif 24/23</v>
      </c>
      <c r="M30" s="117" t="s">
        <v>71</v>
      </c>
      <c r="N30" s="116" t="str">
        <f>CONCATENATE("dif ",RIGHT(M29,2),"/",RIGHT(K29,2))</f>
        <v>dif 25/24</v>
      </c>
    </row>
    <row r="31" spans="1:15" x14ac:dyDescent="0.25">
      <c r="B31" s="118" t="s">
        <v>73</v>
      </c>
      <c r="C31" s="188">
        <v>1.8484012667279599</v>
      </c>
      <c r="D31" s="189">
        <v>-0.20583153750484429</v>
      </c>
      <c r="E31" s="188">
        <v>1.7809853733641263</v>
      </c>
      <c r="F31" s="189">
        <f t="shared" ref="F31:J43" si="3">IFERROR(E31-C31,"-")</f>
        <v>-6.7415893363833579E-2</v>
      </c>
      <c r="G31" s="188">
        <v>2.2843450479233227</v>
      </c>
      <c r="H31" s="189">
        <f t="shared" si="3"/>
        <v>0.50335967455919639</v>
      </c>
      <c r="I31" s="188">
        <v>2.0700344431687716</v>
      </c>
      <c r="J31" s="189">
        <f t="shared" si="3"/>
        <v>-0.2143106047545511</v>
      </c>
      <c r="K31" s="188">
        <v>2.1160504201680674</v>
      </c>
      <c r="L31" s="189">
        <f t="shared" ref="L31:N43" si="4">IFERROR(K31-I31,"-")</f>
        <v>4.6015976999295827E-2</v>
      </c>
      <c r="M31" s="188">
        <v>1.9402484055052032</v>
      </c>
      <c r="N31" s="189">
        <f t="shared" si="4"/>
        <v>-0.17580201466286427</v>
      </c>
    </row>
    <row r="32" spans="1:15" x14ac:dyDescent="0.25">
      <c r="B32" s="118" t="s">
        <v>75</v>
      </c>
      <c r="C32" s="188">
        <v>1.9137733377006223</v>
      </c>
      <c r="D32" s="189">
        <v>4.2783030915372056E-2</v>
      </c>
      <c r="E32" s="188">
        <v>1.8504636022884198</v>
      </c>
      <c r="F32" s="189">
        <f t="shared" si="3"/>
        <v>-6.3309735412202528E-2</v>
      </c>
      <c r="G32" s="188">
        <v>2.0040022234574764</v>
      </c>
      <c r="H32" s="189">
        <f t="shared" si="3"/>
        <v>0.15353862116905659</v>
      </c>
      <c r="I32" s="188">
        <v>1.9573781345692296</v>
      </c>
      <c r="J32" s="189">
        <f t="shared" si="3"/>
        <v>-4.6624088888246762E-2</v>
      </c>
      <c r="K32" s="188">
        <v>2.0574074074074074</v>
      </c>
      <c r="L32" s="189">
        <f t="shared" si="4"/>
        <v>0.10002927283817775</v>
      </c>
      <c r="M32" s="188">
        <v>1.7700534759358288</v>
      </c>
      <c r="N32" s="189">
        <f t="shared" si="4"/>
        <v>-0.28735393147157851</v>
      </c>
    </row>
    <row r="33" spans="2:15" x14ac:dyDescent="0.25">
      <c r="B33" s="118" t="s">
        <v>77</v>
      </c>
      <c r="C33" s="188">
        <v>1.9234662887224134</v>
      </c>
      <c r="D33" s="189">
        <v>1.6750225266538132E-2</v>
      </c>
      <c r="E33" s="188">
        <v>1.9914114406093015</v>
      </c>
      <c r="F33" s="189">
        <f t="shared" si="3"/>
        <v>6.79451518868881E-2</v>
      </c>
      <c r="G33" s="188">
        <v>1.9201727861771059</v>
      </c>
      <c r="H33" s="189">
        <f t="shared" si="3"/>
        <v>-7.123865443219568E-2</v>
      </c>
      <c r="I33" s="188">
        <v>1.9600780234070221</v>
      </c>
      <c r="J33" s="189">
        <f t="shared" si="3"/>
        <v>3.9905237229916235E-2</v>
      </c>
      <c r="K33" s="188">
        <v>2.0040615480746702</v>
      </c>
      <c r="L33" s="189">
        <f t="shared" si="4"/>
        <v>4.39835246676481E-2</v>
      </c>
      <c r="M33" s="188">
        <v>1.9781357882623705</v>
      </c>
      <c r="N33" s="189">
        <f t="shared" si="4"/>
        <v>-2.592575981229972E-2</v>
      </c>
    </row>
    <row r="34" spans="2:15" x14ac:dyDescent="0.25">
      <c r="B34" s="118" t="s">
        <v>79</v>
      </c>
      <c r="C34" s="188" t="s">
        <v>229</v>
      </c>
      <c r="D34" s="189" t="s">
        <v>229</v>
      </c>
      <c r="E34" s="188">
        <v>1.8530402695331301</v>
      </c>
      <c r="F34" s="189" t="str">
        <f>IFERROR(E34-C34,"-")</f>
        <v>-</v>
      </c>
      <c r="G34" s="188">
        <v>2.0611977950107447</v>
      </c>
      <c r="H34" s="189">
        <f>IFERROR(G34-E34,"-")</f>
        <v>0.20815752547761468</v>
      </c>
      <c r="I34" s="188">
        <v>2.0468622656886715</v>
      </c>
      <c r="J34" s="189">
        <f>IFERROR(I34-G34,"-")</f>
        <v>-1.433552932207327E-2</v>
      </c>
      <c r="K34" s="188">
        <v>1.924949290060852</v>
      </c>
      <c r="L34" s="189">
        <f>IFERROR(K34-I34,"-")</f>
        <v>-0.12191297562781944</v>
      </c>
      <c r="M34" s="188">
        <v>2.0816009928637915</v>
      </c>
      <c r="N34" s="189">
        <f t="shared" si="4"/>
        <v>0.1566517028029395</v>
      </c>
    </row>
    <row r="35" spans="2:15" x14ac:dyDescent="0.25">
      <c r="B35" s="118" t="s">
        <v>81</v>
      </c>
      <c r="C35" s="188" t="s">
        <v>229</v>
      </c>
      <c r="D35" s="189" t="s">
        <v>229</v>
      </c>
      <c r="E35" s="188">
        <v>1.7722600762212726</v>
      </c>
      <c r="F35" s="189" t="str">
        <f t="shared" si="3"/>
        <v>-</v>
      </c>
      <c r="G35" s="188">
        <v>2.0660325446112728</v>
      </c>
      <c r="H35" s="189">
        <f t="shared" si="3"/>
        <v>0.29377246839000026</v>
      </c>
      <c r="I35" s="188">
        <v>2.1347812925684879</v>
      </c>
      <c r="J35" s="189">
        <f t="shared" si="3"/>
        <v>6.8748747957215084E-2</v>
      </c>
      <c r="K35" s="188">
        <v>1.9562742152289081</v>
      </c>
      <c r="L35" s="189">
        <f t="shared" si="4"/>
        <v>-0.17850707733957982</v>
      </c>
      <c r="M35" s="188">
        <v>1.7977128187175448</v>
      </c>
      <c r="N35" s="189">
        <f t="shared" si="4"/>
        <v>-0.15856139651136325</v>
      </c>
    </row>
    <row r="36" spans="2:15" x14ac:dyDescent="0.25">
      <c r="B36" s="118" t="s">
        <v>83</v>
      </c>
      <c r="C36" s="188" t="s">
        <v>229</v>
      </c>
      <c r="D36" s="189" t="s">
        <v>229</v>
      </c>
      <c r="E36" s="188">
        <v>1.8588270858524789</v>
      </c>
      <c r="F36" s="189" t="str">
        <f t="shared" si="3"/>
        <v>-</v>
      </c>
      <c r="G36" s="188">
        <v>1.9585784511241842</v>
      </c>
      <c r="H36" s="189">
        <f t="shared" si="3"/>
        <v>9.975136527170525E-2</v>
      </c>
      <c r="I36" s="188">
        <v>1.9800244910454614</v>
      </c>
      <c r="J36" s="189">
        <f t="shared" si="3"/>
        <v>2.1446039921277249E-2</v>
      </c>
      <c r="K36" s="188">
        <v>1.8968067226890757</v>
      </c>
      <c r="L36" s="189">
        <f t="shared" si="4"/>
        <v>-8.3217768356385724E-2</v>
      </c>
      <c r="M36" s="188">
        <v>1.8684021113243763</v>
      </c>
      <c r="N36" s="189">
        <f t="shared" si="4"/>
        <v>-2.8404611364699406E-2</v>
      </c>
    </row>
    <row r="37" spans="2:15" x14ac:dyDescent="0.25">
      <c r="B37" s="118" t="s">
        <v>85</v>
      </c>
      <c r="C37" s="188" t="s">
        <v>229</v>
      </c>
      <c r="D37" s="189" t="s">
        <v>229</v>
      </c>
      <c r="E37" s="188">
        <v>2.069601128122482</v>
      </c>
      <c r="F37" s="189" t="str">
        <f t="shared" si="3"/>
        <v>-</v>
      </c>
      <c r="G37" s="188">
        <v>2.0426347305389223</v>
      </c>
      <c r="H37" s="189">
        <f t="shared" si="3"/>
        <v>-2.6966397583559676E-2</v>
      </c>
      <c r="I37" s="188">
        <v>2.1384838407094739</v>
      </c>
      <c r="J37" s="189">
        <f t="shared" si="3"/>
        <v>9.5849110170551644E-2</v>
      </c>
      <c r="K37" s="188">
        <v>1.8462907283549119</v>
      </c>
      <c r="L37" s="189">
        <f t="shared" si="4"/>
        <v>-0.29219311235456202</v>
      </c>
      <c r="M37" s="188"/>
      <c r="N37" s="189"/>
    </row>
    <row r="38" spans="2:15" x14ac:dyDescent="0.25">
      <c r="B38" s="118" t="s">
        <v>87</v>
      </c>
      <c r="C38" s="188">
        <v>2.3027194656488548</v>
      </c>
      <c r="D38" s="189">
        <v>-0.13846425814892571</v>
      </c>
      <c r="E38" s="188">
        <v>2.4015242242787154</v>
      </c>
      <c r="F38" s="189">
        <f t="shared" si="3"/>
        <v>9.8804758629860601E-2</v>
      </c>
      <c r="G38" s="188">
        <v>2.3593785183517224</v>
      </c>
      <c r="H38" s="189">
        <f t="shared" si="3"/>
        <v>-4.214570592699296E-2</v>
      </c>
      <c r="I38" s="188">
        <v>2.5128088868737248</v>
      </c>
      <c r="J38" s="189">
        <f t="shared" si="3"/>
        <v>0.15343036852200242</v>
      </c>
      <c r="K38" s="188">
        <v>2.3323659034719983</v>
      </c>
      <c r="L38" s="189">
        <f t="shared" si="4"/>
        <v>-0.18044298340172649</v>
      </c>
      <c r="M38" s="188"/>
      <c r="N38" s="189"/>
    </row>
    <row r="39" spans="2:15" x14ac:dyDescent="0.25">
      <c r="B39" s="118" t="s">
        <v>89</v>
      </c>
      <c r="C39" s="188">
        <v>1.9130434782608696</v>
      </c>
      <c r="D39" s="189">
        <v>-4.0076470009418053E-2</v>
      </c>
      <c r="E39" s="188">
        <v>2.0380204100063217</v>
      </c>
      <c r="F39" s="189">
        <f t="shared" si="3"/>
        <v>0.1249769317454521</v>
      </c>
      <c r="G39" s="188">
        <v>1.9090131425460766</v>
      </c>
      <c r="H39" s="189">
        <f t="shared" si="3"/>
        <v>-0.12900726746024516</v>
      </c>
      <c r="I39" s="188">
        <v>2.0412908930150309</v>
      </c>
      <c r="J39" s="189">
        <f t="shared" si="3"/>
        <v>0.13227775046895429</v>
      </c>
      <c r="K39" s="188">
        <v>1.8926924689115552</v>
      </c>
      <c r="L39" s="189">
        <f t="shared" si="4"/>
        <v>-0.14859842410347568</v>
      </c>
      <c r="M39" s="188"/>
      <c r="N39" s="189"/>
    </row>
    <row r="40" spans="2:15" x14ac:dyDescent="0.25">
      <c r="B40" s="118" t="s">
        <v>91</v>
      </c>
      <c r="C40" s="188">
        <v>1.8103602262578149</v>
      </c>
      <c r="D40" s="189">
        <v>-5.3859957228423738E-2</v>
      </c>
      <c r="E40" s="188">
        <v>1.8995412118335706</v>
      </c>
      <c r="F40" s="189">
        <f t="shared" si="3"/>
        <v>8.9180985575755711E-2</v>
      </c>
      <c r="G40" s="188">
        <v>1.9914913013750666</v>
      </c>
      <c r="H40" s="189">
        <f t="shared" si="3"/>
        <v>9.1950089541495972E-2</v>
      </c>
      <c r="I40" s="188">
        <v>2.0386764073914914</v>
      </c>
      <c r="J40" s="189">
        <f t="shared" si="3"/>
        <v>4.7185106016424783E-2</v>
      </c>
      <c r="K40" s="188">
        <v>1.9117393011385944</v>
      </c>
      <c r="L40" s="189">
        <f t="shared" si="4"/>
        <v>-0.126937106252897</v>
      </c>
      <c r="M40" s="188"/>
      <c r="N40" s="189"/>
    </row>
    <row r="41" spans="2:15" x14ac:dyDescent="0.25">
      <c r="B41" s="118" t="s">
        <v>93</v>
      </c>
      <c r="C41" s="188">
        <v>1.7299377061194576</v>
      </c>
      <c r="D41" s="189">
        <v>-0.19597530704187771</v>
      </c>
      <c r="E41" s="188">
        <v>1.8358096953324328</v>
      </c>
      <c r="F41" s="189">
        <f t="shared" si="3"/>
        <v>0.10587198921297514</v>
      </c>
      <c r="G41" s="188">
        <v>1.8761151809675782</v>
      </c>
      <c r="H41" s="189">
        <f t="shared" si="3"/>
        <v>4.0305485635145466E-2</v>
      </c>
      <c r="I41" s="188">
        <v>1.9529025191675795</v>
      </c>
      <c r="J41" s="189">
        <f t="shared" si="3"/>
        <v>7.6787338200001276E-2</v>
      </c>
      <c r="K41" s="188">
        <v>1.9577701566807881</v>
      </c>
      <c r="L41" s="189">
        <f t="shared" si="4"/>
        <v>4.8676375132086225E-3</v>
      </c>
      <c r="M41" s="188"/>
      <c r="N41" s="189"/>
    </row>
    <row r="42" spans="2:15" x14ac:dyDescent="0.25">
      <c r="B42" s="118" t="s">
        <v>95</v>
      </c>
      <c r="C42" s="188">
        <v>1.7903041390349874</v>
      </c>
      <c r="D42" s="189">
        <v>-0.21213369616735278</v>
      </c>
      <c r="E42" s="188">
        <v>2.1891476048825522</v>
      </c>
      <c r="F42" s="189">
        <f t="shared" si="3"/>
        <v>0.3988434658475648</v>
      </c>
      <c r="G42" s="188">
        <v>1.9508135403029736</v>
      </c>
      <c r="H42" s="189">
        <f t="shared" si="3"/>
        <v>-0.23833406457957862</v>
      </c>
      <c r="I42" s="188">
        <v>2.1226911666188153</v>
      </c>
      <c r="J42" s="189">
        <f t="shared" si="3"/>
        <v>0.17187762631584169</v>
      </c>
      <c r="K42" s="188">
        <v>1.910672057365169</v>
      </c>
      <c r="L42" s="189">
        <f t="shared" si="4"/>
        <v>-0.21201910925364631</v>
      </c>
      <c r="M42" s="188"/>
      <c r="N42" s="189"/>
    </row>
    <row r="43" spans="2:15" ht="15.75" x14ac:dyDescent="0.25">
      <c r="B43" s="121" t="s">
        <v>32</v>
      </c>
      <c r="C43" s="190">
        <v>1.8931315067158241</v>
      </c>
      <c r="D43" s="191">
        <v>-6.6283185897916264E-2</v>
      </c>
      <c r="E43" s="190">
        <v>1.9762521878018688</v>
      </c>
      <c r="F43" s="191">
        <f t="shared" si="3"/>
        <v>8.3120681086044756E-2</v>
      </c>
      <c r="G43" s="190">
        <v>2.016102486544193</v>
      </c>
      <c r="H43" s="191">
        <f t="shared" si="3"/>
        <v>3.9850298742324153E-2</v>
      </c>
      <c r="I43" s="190">
        <v>2.0648091238134261</v>
      </c>
      <c r="J43" s="191">
        <f t="shared" si="3"/>
        <v>4.8706637269233077E-2</v>
      </c>
      <c r="K43" s="190">
        <v>1.9697699372788473</v>
      </c>
      <c r="L43" s="191">
        <f t="shared" si="4"/>
        <v>-9.5039186534578768E-2</v>
      </c>
      <c r="M43" s="190">
        <v>1.9001538899971502</v>
      </c>
      <c r="N43" s="191">
        <v>-8.8507763742133649E-2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7" spans="2:15" x14ac:dyDescent="0.25">
      <c r="E47" s="124"/>
      <c r="G47" s="124"/>
      <c r="I47" s="124"/>
      <c r="K47" s="126"/>
    </row>
    <row r="48" spans="2:15" ht="48.75" customHeight="1" thickBot="1" x14ac:dyDescent="0.3">
      <c r="B48" s="278" t="s">
        <v>287</v>
      </c>
      <c r="C48" s="278"/>
      <c r="D48" s="278"/>
      <c r="E48" s="278"/>
      <c r="F48" s="278"/>
      <c r="G48" s="278"/>
      <c r="H48" s="278"/>
      <c r="I48" s="278"/>
      <c r="J48" s="278"/>
      <c r="K48" s="278"/>
      <c r="L48" s="278"/>
      <c r="M48" s="278"/>
      <c r="N48" s="278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3" t="s">
        <v>102</v>
      </c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</row>
    <row r="51" spans="1:15" ht="22.5" thickTop="1" thickBot="1" x14ac:dyDescent="0.3">
      <c r="B51" s="111"/>
      <c r="C51" s="305">
        <v>2020</v>
      </c>
      <c r="D51" s="306"/>
      <c r="E51" s="307">
        <v>2021</v>
      </c>
      <c r="F51" s="306"/>
      <c r="G51" s="307">
        <v>2022</v>
      </c>
      <c r="H51" s="306"/>
      <c r="I51" s="307">
        <v>2023</v>
      </c>
      <c r="J51" s="306"/>
      <c r="K51" s="307">
        <v>2024</v>
      </c>
      <c r="L51" s="306"/>
      <c r="M51" s="307">
        <v>2025</v>
      </c>
      <c r="N51" s="308"/>
    </row>
    <row r="52" spans="1:15" ht="16.5" thickTop="1" thickBot="1" x14ac:dyDescent="0.3">
      <c r="B52" s="87"/>
      <c r="C52" s="115" t="s">
        <v>71</v>
      </c>
      <c r="D52" s="116" t="str">
        <f>CONCATENATE("dif ",RIGHT(C51,2),"/",RIGHT(C51-1,2))</f>
        <v>dif 20/19</v>
      </c>
      <c r="E52" s="117" t="s">
        <v>71</v>
      </c>
      <c r="F52" s="116" t="str">
        <f>CONCATENATE("dif ",RIGHT(E51,2),"/",RIGHT(C51,2))</f>
        <v>dif 21/20</v>
      </c>
      <c r="G52" s="117" t="s">
        <v>71</v>
      </c>
      <c r="H52" s="116" t="str">
        <f>CONCATENATE("dif ",RIGHT(G51,2),"/",RIGHT(E51,2))</f>
        <v>dif 22/21</v>
      </c>
      <c r="I52" s="117" t="s">
        <v>71</v>
      </c>
      <c r="J52" s="116" t="str">
        <f>CONCATENATE("dif ",RIGHT(I51,2),"/",RIGHT(G51,2))</f>
        <v>dif 23/22</v>
      </c>
      <c r="K52" s="117" t="s">
        <v>71</v>
      </c>
      <c r="L52" s="116" t="str">
        <f>CONCATENATE("dif ",RIGHT(K51,2),"/",RIGHT(I51,2))</f>
        <v>dif 24/23</v>
      </c>
      <c r="M52" s="117" t="s">
        <v>71</v>
      </c>
      <c r="N52" s="116" t="str">
        <f>CONCATENATE("dif ",RIGHT(M51,2),"/",RIGHT(K51,2))</f>
        <v>dif 25/24</v>
      </c>
    </row>
    <row r="53" spans="1:15" x14ac:dyDescent="0.25">
      <c r="A53" s="1">
        <v>1</v>
      </c>
      <c r="B53" s="118" t="s">
        <v>73</v>
      </c>
      <c r="C53" s="188">
        <v>1.9997893406361913</v>
      </c>
      <c r="D53" s="189">
        <v>-0.18603643451673002</v>
      </c>
      <c r="E53" s="188">
        <v>2.0686968838526911</v>
      </c>
      <c r="F53" s="189">
        <f t="shared" ref="F53:J65" si="5">IFERROR(E53-C53,"-")</f>
        <v>6.8907543216499834E-2</v>
      </c>
      <c r="G53" s="188">
        <v>2.4309420474853205</v>
      </c>
      <c r="H53" s="189">
        <f t="shared" si="5"/>
        <v>0.36224516363262937</v>
      </c>
      <c r="I53" s="188">
        <v>2.1622018348623855</v>
      </c>
      <c r="J53" s="189">
        <f t="shared" si="5"/>
        <v>-0.26874021262293502</v>
      </c>
      <c r="K53" s="188">
        <v>2.2942804428044279</v>
      </c>
      <c r="L53" s="189">
        <f t="shared" ref="L53:N65" si="6">IFERROR(K53-I53,"-")</f>
        <v>0.1320786079420424</v>
      </c>
      <c r="M53" s="188">
        <v>2.1155871886120998</v>
      </c>
      <c r="N53" s="189">
        <f t="shared" si="6"/>
        <v>-0.17869325419232807</v>
      </c>
    </row>
    <row r="54" spans="1:15" x14ac:dyDescent="0.25">
      <c r="A54" s="1">
        <v>2</v>
      </c>
      <c r="B54" s="118" t="s">
        <v>75</v>
      </c>
      <c r="C54" s="188">
        <v>2.134935304990758</v>
      </c>
      <c r="D54" s="189">
        <v>9.4520028757906882E-2</v>
      </c>
      <c r="E54" s="188">
        <v>2.3219334245326038</v>
      </c>
      <c r="F54" s="189">
        <f t="shared" si="5"/>
        <v>0.18699811954184575</v>
      </c>
      <c r="G54" s="188">
        <v>2.1549719326383321</v>
      </c>
      <c r="H54" s="189">
        <f t="shared" si="5"/>
        <v>-0.16696149189427167</v>
      </c>
      <c r="I54" s="188">
        <v>2.155624515128006</v>
      </c>
      <c r="J54" s="189">
        <f t="shared" si="5"/>
        <v>6.5258248967392518E-4</v>
      </c>
      <c r="K54" s="188">
        <v>2.2830518345952244</v>
      </c>
      <c r="L54" s="189">
        <f t="shared" si="6"/>
        <v>0.12742731946721841</v>
      </c>
      <c r="M54" s="188">
        <v>1.9233066377087009</v>
      </c>
      <c r="N54" s="189">
        <f t="shared" si="6"/>
        <v>-0.35974519688652351</v>
      </c>
    </row>
    <row r="55" spans="1:15" x14ac:dyDescent="0.25">
      <c r="A55" s="1">
        <v>3</v>
      </c>
      <c r="B55" s="118" t="s">
        <v>77</v>
      </c>
      <c r="C55" s="188">
        <v>2.0949742777997624</v>
      </c>
      <c r="D55" s="189">
        <v>4.999040409410993E-2</v>
      </c>
      <c r="E55" s="188">
        <v>2.195773081201335</v>
      </c>
      <c r="F55" s="189">
        <f t="shared" si="5"/>
        <v>0.10079880340157255</v>
      </c>
      <c r="G55" s="188">
        <v>1.9960493046776233</v>
      </c>
      <c r="H55" s="189">
        <f t="shared" si="5"/>
        <v>-0.19972377652371165</v>
      </c>
      <c r="I55" s="188">
        <v>2.0558081382132305</v>
      </c>
      <c r="J55" s="189">
        <f t="shared" si="5"/>
        <v>5.9758833535607181E-2</v>
      </c>
      <c r="K55" s="188">
        <v>2.1673225477335665</v>
      </c>
      <c r="L55" s="189">
        <f t="shared" si="6"/>
        <v>0.11151440952033598</v>
      </c>
      <c r="M55" s="188">
        <v>2.2431515783981215</v>
      </c>
      <c r="N55" s="189">
        <f t="shared" si="6"/>
        <v>7.5829030664555042E-2</v>
      </c>
    </row>
    <row r="56" spans="1:15" x14ac:dyDescent="0.25">
      <c r="A56" s="1">
        <v>4</v>
      </c>
      <c r="B56" s="118" t="s">
        <v>79</v>
      </c>
      <c r="C56" s="188" t="s">
        <v>229</v>
      </c>
      <c r="D56" s="189" t="s">
        <v>229</v>
      </c>
      <c r="E56" s="188">
        <v>2.0240278216882706</v>
      </c>
      <c r="F56" s="189" t="str">
        <f>IFERROR(E56-C56,"-")</f>
        <v>-</v>
      </c>
      <c r="G56" s="188">
        <v>2.2903803131991052</v>
      </c>
      <c r="H56" s="189">
        <f>IFERROR(G56-E56,"-")</f>
        <v>0.26635249151083462</v>
      </c>
      <c r="I56" s="188">
        <v>2.1764973464746018</v>
      </c>
      <c r="J56" s="189">
        <f>IFERROR(I56-G56,"-")</f>
        <v>-0.11388296672450338</v>
      </c>
      <c r="K56" s="188">
        <v>1.9390554298642535</v>
      </c>
      <c r="L56" s="189">
        <f>IFERROR(K56-I56,"-")</f>
        <v>-0.2374419166103483</v>
      </c>
      <c r="M56" s="188">
        <v>2.4042033235581624</v>
      </c>
      <c r="N56" s="189">
        <f t="shared" si="6"/>
        <v>0.46514789369390885</v>
      </c>
    </row>
    <row r="57" spans="1:15" x14ac:dyDescent="0.25">
      <c r="A57" s="1">
        <v>5</v>
      </c>
      <c r="B57" s="118" t="s">
        <v>81</v>
      </c>
      <c r="C57" s="188" t="s">
        <v>229</v>
      </c>
      <c r="D57" s="189" t="s">
        <v>229</v>
      </c>
      <c r="E57" s="188">
        <v>1.9386612369559684</v>
      </c>
      <c r="F57" s="189" t="str">
        <f t="shared" si="5"/>
        <v>-</v>
      </c>
      <c r="G57" s="188">
        <v>2.3475718694169236</v>
      </c>
      <c r="H57" s="189">
        <f t="shared" si="5"/>
        <v>0.40891063246095527</v>
      </c>
      <c r="I57" s="188">
        <v>2.4189012900420352</v>
      </c>
      <c r="J57" s="189">
        <f t="shared" si="5"/>
        <v>7.1329420625111606E-2</v>
      </c>
      <c r="K57" s="188">
        <v>2.1439621830683282</v>
      </c>
      <c r="L57" s="189">
        <f t="shared" si="6"/>
        <v>-0.27493910697370705</v>
      </c>
      <c r="M57" s="188">
        <v>2.0404564315352696</v>
      </c>
      <c r="N57" s="189">
        <f t="shared" si="6"/>
        <v>-0.10350575153305863</v>
      </c>
    </row>
    <row r="58" spans="1:15" x14ac:dyDescent="0.25">
      <c r="A58" s="1">
        <v>6</v>
      </c>
      <c r="B58" s="118" t="s">
        <v>83</v>
      </c>
      <c r="C58" s="188" t="s">
        <v>229</v>
      </c>
      <c r="D58" s="189" t="s">
        <v>229</v>
      </c>
      <c r="E58" s="188">
        <v>2.0090929756762899</v>
      </c>
      <c r="F58" s="189" t="str">
        <f t="shared" si="5"/>
        <v>-</v>
      </c>
      <c r="G58" s="188">
        <v>2.1499464476972512</v>
      </c>
      <c r="H58" s="189">
        <f t="shared" si="5"/>
        <v>0.14085347202096132</v>
      </c>
      <c r="I58" s="188">
        <v>2.183712967098407</v>
      </c>
      <c r="J58" s="189">
        <f t="shared" si="5"/>
        <v>3.3766519401155826E-2</v>
      </c>
      <c r="K58" s="188">
        <v>2.0647043224608859</v>
      </c>
      <c r="L58" s="189">
        <f t="shared" si="6"/>
        <v>-0.11900864463752114</v>
      </c>
      <c r="M58" s="188">
        <v>2.0485012221793388</v>
      </c>
      <c r="N58" s="189">
        <f t="shared" si="6"/>
        <v>-1.6203100281547034E-2</v>
      </c>
    </row>
    <row r="59" spans="1:15" x14ac:dyDescent="0.25">
      <c r="A59" s="1">
        <v>7</v>
      </c>
      <c r="B59" s="118" t="s">
        <v>85</v>
      </c>
      <c r="C59" s="188" t="s">
        <v>229</v>
      </c>
      <c r="D59" s="189" t="s">
        <v>229</v>
      </c>
      <c r="E59" s="188">
        <v>2.2264788732394365</v>
      </c>
      <c r="F59" s="189" t="str">
        <f t="shared" si="5"/>
        <v>-</v>
      </c>
      <c r="G59" s="188">
        <v>2.3532442748091604</v>
      </c>
      <c r="H59" s="189">
        <f t="shared" si="5"/>
        <v>0.12676540156972393</v>
      </c>
      <c r="I59" s="188">
        <v>2.2743093922651934</v>
      </c>
      <c r="J59" s="189">
        <f t="shared" si="5"/>
        <v>-7.8934882543967078E-2</v>
      </c>
      <c r="K59" s="188">
        <v>2.0339616762735631</v>
      </c>
      <c r="L59" s="189">
        <f t="shared" si="6"/>
        <v>-0.2403477159916303</v>
      </c>
      <c r="M59" s="188"/>
      <c r="N59" s="189"/>
    </row>
    <row r="60" spans="1:15" x14ac:dyDescent="0.25">
      <c r="A60" s="1">
        <v>8</v>
      </c>
      <c r="B60" s="118" t="s">
        <v>87</v>
      </c>
      <c r="C60" s="188">
        <v>2.5827193569993301</v>
      </c>
      <c r="D60" s="189">
        <v>-0.19220850449473836</v>
      </c>
      <c r="E60" s="188">
        <v>2.4678990260385607</v>
      </c>
      <c r="F60" s="189">
        <f t="shared" si="5"/>
        <v>-0.11482033096076938</v>
      </c>
      <c r="G60" s="188">
        <v>2.5090213231273921</v>
      </c>
      <c r="H60" s="189">
        <f t="shared" si="5"/>
        <v>4.1122297088831417E-2</v>
      </c>
      <c r="I60" s="188">
        <v>2.771685761047463</v>
      </c>
      <c r="J60" s="189">
        <f t="shared" si="5"/>
        <v>0.26266443792007088</v>
      </c>
      <c r="K60" s="188">
        <v>2.4482845610494448</v>
      </c>
      <c r="L60" s="189">
        <f t="shared" si="6"/>
        <v>-0.3234011999980182</v>
      </c>
      <c r="M60" s="188"/>
      <c r="N60" s="189"/>
    </row>
    <row r="61" spans="1:15" x14ac:dyDescent="0.25">
      <c r="A61" s="1">
        <v>9</v>
      </c>
      <c r="B61" s="118" t="s">
        <v>89</v>
      </c>
      <c r="C61" s="188">
        <v>2.0682613768961495</v>
      </c>
      <c r="D61" s="189">
        <v>-6.2052062348161297E-2</v>
      </c>
      <c r="E61" s="188">
        <v>2.2289744036218004</v>
      </c>
      <c r="F61" s="189">
        <f t="shared" si="5"/>
        <v>0.16071302672565091</v>
      </c>
      <c r="G61" s="188">
        <v>2.1130181347150261</v>
      </c>
      <c r="H61" s="189">
        <f t="shared" si="5"/>
        <v>-0.11595626890677435</v>
      </c>
      <c r="I61" s="188">
        <v>2.4285934846379496</v>
      </c>
      <c r="J61" s="189">
        <f t="shared" si="5"/>
        <v>0.31557534992292346</v>
      </c>
      <c r="K61" s="188">
        <v>2.1919419822723611</v>
      </c>
      <c r="L61" s="189">
        <f t="shared" si="6"/>
        <v>-0.23665150236558841</v>
      </c>
      <c r="M61" s="188"/>
      <c r="N61" s="189"/>
    </row>
    <row r="62" spans="1:15" x14ac:dyDescent="0.25">
      <c r="A62" s="1">
        <v>10</v>
      </c>
      <c r="B62" s="118" t="s">
        <v>91</v>
      </c>
      <c r="C62" s="188">
        <v>1.9571865443425076</v>
      </c>
      <c r="D62" s="189">
        <v>-2.671841829401278E-2</v>
      </c>
      <c r="E62" s="188">
        <v>2.0346640381140135</v>
      </c>
      <c r="F62" s="189">
        <f t="shared" si="5"/>
        <v>7.7477493771505923E-2</v>
      </c>
      <c r="G62" s="188">
        <v>2.1841864716636197</v>
      </c>
      <c r="H62" s="189">
        <f t="shared" si="5"/>
        <v>0.14952243354960615</v>
      </c>
      <c r="I62" s="188">
        <v>2.3541991219374028</v>
      </c>
      <c r="J62" s="189">
        <f t="shared" si="5"/>
        <v>0.17001265027378309</v>
      </c>
      <c r="K62" s="188">
        <v>2.0768831842344095</v>
      </c>
      <c r="L62" s="189">
        <f t="shared" si="6"/>
        <v>-0.27731593770299323</v>
      </c>
      <c r="M62" s="188"/>
      <c r="N62" s="189"/>
    </row>
    <row r="63" spans="1:15" x14ac:dyDescent="0.25">
      <c r="A63" s="1">
        <v>11</v>
      </c>
      <c r="B63" s="118" t="s">
        <v>93</v>
      </c>
      <c r="C63" s="188">
        <v>1.8892845581094204</v>
      </c>
      <c r="D63" s="189">
        <v>-0.1319174186162293</v>
      </c>
      <c r="E63" s="188">
        <v>1.9566473988439306</v>
      </c>
      <c r="F63" s="189">
        <f t="shared" si="5"/>
        <v>6.7362840734510154E-2</v>
      </c>
      <c r="G63" s="188">
        <v>2.0410624551328067</v>
      </c>
      <c r="H63" s="189">
        <f t="shared" si="5"/>
        <v>8.4415056288876134E-2</v>
      </c>
      <c r="I63" s="188">
        <v>2.0985071117902905</v>
      </c>
      <c r="J63" s="189">
        <f t="shared" si="5"/>
        <v>5.7444656657483772E-2</v>
      </c>
      <c r="K63" s="188">
        <v>2.198003900424458</v>
      </c>
      <c r="L63" s="189">
        <f t="shared" si="6"/>
        <v>9.9496788634167554E-2</v>
      </c>
      <c r="M63" s="188"/>
      <c r="N63" s="189"/>
    </row>
    <row r="64" spans="1:15" x14ac:dyDescent="0.25">
      <c r="A64" s="1">
        <v>12</v>
      </c>
      <c r="B64" s="118" t="s">
        <v>95</v>
      </c>
      <c r="C64" s="188">
        <v>2.0748489074848906</v>
      </c>
      <c r="D64" s="189">
        <v>-0.38118633031553895</v>
      </c>
      <c r="E64" s="188">
        <v>2.3513942416685558</v>
      </c>
      <c r="F64" s="189">
        <f t="shared" si="5"/>
        <v>0.27654533418366523</v>
      </c>
      <c r="G64" s="188">
        <v>2.1458837772397095</v>
      </c>
      <c r="H64" s="189">
        <f t="shared" si="5"/>
        <v>-0.20551046442884635</v>
      </c>
      <c r="I64" s="188">
        <v>2.2368119266055047</v>
      </c>
      <c r="J64" s="189">
        <f t="shared" si="5"/>
        <v>9.0928149365795186E-2</v>
      </c>
      <c r="K64" s="188">
        <v>2.2313143242787246</v>
      </c>
      <c r="L64" s="189">
        <f t="shared" si="6"/>
        <v>-5.4976023267800933E-3</v>
      </c>
      <c r="M64" s="188"/>
      <c r="N64" s="189"/>
    </row>
    <row r="65" spans="1:15" ht="15.75" x14ac:dyDescent="0.25">
      <c r="B65" s="121" t="s">
        <v>32</v>
      </c>
      <c r="C65" s="190">
        <v>2.1074008288928359</v>
      </c>
      <c r="D65" s="191">
        <v>-3.7460237804447516E-3</v>
      </c>
      <c r="E65" s="190">
        <v>2.1469888910543755</v>
      </c>
      <c r="F65" s="191">
        <f t="shared" si="5"/>
        <v>3.958806216153965E-2</v>
      </c>
      <c r="G65" s="190">
        <v>2.2052106242598546</v>
      </c>
      <c r="H65" s="191">
        <f t="shared" si="5"/>
        <v>5.8221733205479076E-2</v>
      </c>
      <c r="I65" s="190">
        <v>2.2587256720915465</v>
      </c>
      <c r="J65" s="191">
        <f t="shared" si="5"/>
        <v>5.351504783169192E-2</v>
      </c>
      <c r="K65" s="190">
        <v>2.1602515692124844</v>
      </c>
      <c r="L65" s="191">
        <f t="shared" si="6"/>
        <v>-9.8474102879062109E-2</v>
      </c>
      <c r="M65" s="190">
        <v>2.1208992468121153</v>
      </c>
      <c r="N65" s="191">
        <v>-2.4171041033346885E-2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70" spans="1:15" ht="48.75" customHeight="1" thickBot="1" x14ac:dyDescent="0.3">
      <c r="B70" s="278" t="s">
        <v>288</v>
      </c>
      <c r="C70" s="278"/>
      <c r="D70" s="278"/>
      <c r="E70" s="278"/>
      <c r="F70" s="278"/>
      <c r="G70" s="278"/>
      <c r="H70" s="278"/>
      <c r="I70" s="278"/>
      <c r="J70" s="278"/>
      <c r="K70" s="278"/>
      <c r="L70" s="278"/>
      <c r="M70" s="278"/>
      <c r="N70" s="278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3" t="s">
        <v>105</v>
      </c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</row>
    <row r="73" spans="1:15" ht="22.5" thickTop="1" thickBot="1" x14ac:dyDescent="0.3">
      <c r="B73" s="111"/>
      <c r="C73" s="305">
        <v>2020</v>
      </c>
      <c r="D73" s="306"/>
      <c r="E73" s="307">
        <v>2021</v>
      </c>
      <c r="F73" s="306"/>
      <c r="G73" s="307">
        <v>2022</v>
      </c>
      <c r="H73" s="306"/>
      <c r="I73" s="307">
        <v>2023</v>
      </c>
      <c r="J73" s="306"/>
      <c r="K73" s="307">
        <v>2024</v>
      </c>
      <c r="L73" s="306"/>
      <c r="M73" s="307">
        <v>2025</v>
      </c>
      <c r="N73" s="308"/>
    </row>
    <row r="74" spans="1:15" ht="16.5" thickTop="1" thickBot="1" x14ac:dyDescent="0.3">
      <c r="B74" s="87"/>
      <c r="C74" s="115" t="s">
        <v>71</v>
      </c>
      <c r="D74" s="116" t="str">
        <f>CONCATENATE("dif ",RIGHT(C73,2),"/",RIGHT(C73-1,2))</f>
        <v>dif 20/19</v>
      </c>
      <c r="E74" s="117" t="s">
        <v>71</v>
      </c>
      <c r="F74" s="116" t="str">
        <f>CONCATENATE("dif ",RIGHT(E73,2),"/",RIGHT(C73,2))</f>
        <v>dif 21/20</v>
      </c>
      <c r="G74" s="117" t="s">
        <v>71</v>
      </c>
      <c r="H74" s="116" t="str">
        <f>CONCATENATE("dif ",RIGHT(G73,2),"/",RIGHT(E73,2))</f>
        <v>dif 22/21</v>
      </c>
      <c r="I74" s="117" t="s">
        <v>71</v>
      </c>
      <c r="J74" s="116" t="str">
        <f>CONCATENATE("dif ",RIGHT(I73,2),"/",RIGHT(G73,2))</f>
        <v>dif 23/22</v>
      </c>
      <c r="K74" s="117" t="s">
        <v>71</v>
      </c>
      <c r="L74" s="116" t="str">
        <f>CONCATENATE("dif ",RIGHT(K73,2),"/",RIGHT(I73,2))</f>
        <v>dif 24/23</v>
      </c>
      <c r="M74" s="117" t="s">
        <v>71</v>
      </c>
      <c r="N74" s="116" t="str">
        <f>CONCATENATE("dif ",RIGHT(M73,2),"/",RIGHT(K73,2))</f>
        <v>dif 25/24</v>
      </c>
    </row>
    <row r="75" spans="1:15" x14ac:dyDescent="0.25">
      <c r="A75" s="1">
        <v>1</v>
      </c>
      <c r="B75" s="118" t="s">
        <v>73</v>
      </c>
      <c r="C75" s="188">
        <v>1.7058706862356208</v>
      </c>
      <c r="D75" s="189">
        <v>-0.20431171967525441</v>
      </c>
      <c r="E75" s="188">
        <v>1.4384485666104554</v>
      </c>
      <c r="F75" s="189">
        <f t="shared" ref="F75:J77" si="7">IFERROR(E75-C75,"-")</f>
        <v>-0.26742211962516538</v>
      </c>
      <c r="G75" s="188">
        <v>2.0681475903614457</v>
      </c>
      <c r="H75" s="189">
        <f t="shared" si="7"/>
        <v>0.62969902375099029</v>
      </c>
      <c r="I75" s="188">
        <v>1.9696121551379449</v>
      </c>
      <c r="J75" s="189">
        <f t="shared" si="7"/>
        <v>-9.8535435223500834E-2</v>
      </c>
      <c r="K75" s="188">
        <v>1.9012231282431431</v>
      </c>
      <c r="L75" s="189">
        <f t="shared" ref="L75:L77" si="8">IFERROR(K75-I75,"-")</f>
        <v>-6.8389026894801752E-2</v>
      </c>
      <c r="M75" s="188">
        <v>1.6884072786751176</v>
      </c>
      <c r="N75" s="189">
        <f t="shared" ref="N75:N80" si="9">IFERROR(M75-K75,"-")</f>
        <v>-0.21281584956802546</v>
      </c>
    </row>
    <row r="76" spans="1:15" x14ac:dyDescent="0.25">
      <c r="A76" s="1">
        <v>2</v>
      </c>
      <c r="B76" s="118" t="s">
        <v>75</v>
      </c>
      <c r="C76" s="188">
        <v>1.7035617313528191</v>
      </c>
      <c r="D76" s="189">
        <v>3.0680742842088549E-2</v>
      </c>
      <c r="E76" s="188">
        <v>1.4909596662030598</v>
      </c>
      <c r="F76" s="189">
        <f t="shared" si="7"/>
        <v>-0.21260206514975932</v>
      </c>
      <c r="G76" s="188">
        <v>1.8160718742201147</v>
      </c>
      <c r="H76" s="189">
        <f t="shared" si="7"/>
        <v>0.32511220801705498</v>
      </c>
      <c r="I76" s="188">
        <v>1.7307555870876197</v>
      </c>
      <c r="J76" s="189">
        <f t="shared" si="7"/>
        <v>-8.5316287132495061E-2</v>
      </c>
      <c r="K76" s="188">
        <v>1.7482043096568236</v>
      </c>
      <c r="L76" s="189">
        <f t="shared" si="8"/>
        <v>1.7448722569203934E-2</v>
      </c>
      <c r="M76" s="188">
        <v>1.5848778087584057</v>
      </c>
      <c r="N76" s="189">
        <f t="shared" si="9"/>
        <v>-0.16332650089841794</v>
      </c>
    </row>
    <row r="77" spans="1:15" x14ac:dyDescent="0.25">
      <c r="A77" s="1">
        <v>3</v>
      </c>
      <c r="B77" s="118" t="s">
        <v>77</v>
      </c>
      <c r="C77" s="188">
        <v>1.7437810945273631</v>
      </c>
      <c r="D77" s="189">
        <v>1.2762975459200909E-2</v>
      </c>
      <c r="E77" s="188">
        <v>1.8327576280944156</v>
      </c>
      <c r="F77" s="189">
        <f t="shared" si="7"/>
        <v>8.8976533567052485E-2</v>
      </c>
      <c r="G77" s="188">
        <v>1.8286639984753192</v>
      </c>
      <c r="H77" s="189">
        <f t="shared" si="7"/>
        <v>-4.0936296190963173E-3</v>
      </c>
      <c r="I77" s="188">
        <v>1.8321178972956549</v>
      </c>
      <c r="J77" s="189">
        <f t="shared" si="7"/>
        <v>3.4538988203356435E-3</v>
      </c>
      <c r="K77" s="188">
        <v>1.8155503197576575</v>
      </c>
      <c r="L77" s="189">
        <f t="shared" si="8"/>
        <v>-1.6567577537997424E-2</v>
      </c>
      <c r="M77" s="188">
        <v>1.723420260782347</v>
      </c>
      <c r="N77" s="189">
        <f t="shared" si="9"/>
        <v>-9.2130058975310458E-2</v>
      </c>
    </row>
    <row r="78" spans="1:15" x14ac:dyDescent="0.25">
      <c r="A78" s="1">
        <v>4</v>
      </c>
      <c r="B78" s="118" t="s">
        <v>79</v>
      </c>
      <c r="C78" s="188" t="s">
        <v>229</v>
      </c>
      <c r="D78" s="189" t="s">
        <v>229</v>
      </c>
      <c r="E78" s="188">
        <v>1.6768729641693811</v>
      </c>
      <c r="F78" s="189" t="str">
        <f>IFERROR(E78-C78,"-")</f>
        <v>-</v>
      </c>
      <c r="G78" s="188">
        <v>1.8968394031766405</v>
      </c>
      <c r="H78" s="189">
        <f>IFERROR(G78-E78,"-")</f>
        <v>0.21996643900725932</v>
      </c>
      <c r="I78" s="188">
        <v>1.8962114537444934</v>
      </c>
      <c r="J78" s="189">
        <f>IFERROR(I78-G78,"-")</f>
        <v>-6.279494321470569E-4</v>
      </c>
      <c r="K78" s="188">
        <v>1.9039915966386554</v>
      </c>
      <c r="L78" s="189">
        <f>IFERROR(K78-I78,"-")</f>
        <v>7.7801428941619566E-3</v>
      </c>
      <c r="M78" s="188">
        <v>1.7884216760438258</v>
      </c>
      <c r="N78" s="189">
        <f t="shared" si="9"/>
        <v>-0.11556992059482951</v>
      </c>
    </row>
    <row r="79" spans="1:15" x14ac:dyDescent="0.25">
      <c r="A79" s="1">
        <v>5</v>
      </c>
      <c r="B79" s="118" t="s">
        <v>81</v>
      </c>
      <c r="C79" s="188" t="s">
        <v>229</v>
      </c>
      <c r="D79" s="189" t="s">
        <v>229</v>
      </c>
      <c r="E79" s="188">
        <v>1.6340380549682876</v>
      </c>
      <c r="F79" s="189" t="str">
        <f t="shared" ref="F79:J87" si="10">IFERROR(E79-C79,"-")</f>
        <v>-</v>
      </c>
      <c r="G79" s="188">
        <v>1.801950030469226</v>
      </c>
      <c r="H79" s="189">
        <f t="shared" si="10"/>
        <v>0.16791197550093839</v>
      </c>
      <c r="I79" s="188">
        <v>1.8243863816310373</v>
      </c>
      <c r="J79" s="189">
        <f t="shared" si="10"/>
        <v>2.2436351161811308E-2</v>
      </c>
      <c r="K79" s="188">
        <v>1.7250264737027885</v>
      </c>
      <c r="L79" s="189">
        <f t="shared" ref="L79:L87" si="11">IFERROR(K79-I79,"-")</f>
        <v>-9.9359907928248781E-2</v>
      </c>
      <c r="M79" s="188">
        <v>1.5991301580566457</v>
      </c>
      <c r="N79" s="189">
        <f t="shared" si="9"/>
        <v>-0.12589631564614279</v>
      </c>
    </row>
    <row r="80" spans="1:15" x14ac:dyDescent="0.25">
      <c r="A80" s="1">
        <v>6</v>
      </c>
      <c r="B80" s="118" t="s">
        <v>83</v>
      </c>
      <c r="C80" s="188" t="s">
        <v>229</v>
      </c>
      <c r="D80" s="189" t="s">
        <v>229</v>
      </c>
      <c r="E80" s="188">
        <v>1.739185520361991</v>
      </c>
      <c r="F80" s="189" t="str">
        <f t="shared" si="10"/>
        <v>-</v>
      </c>
      <c r="G80" s="188">
        <v>1.8010871162039077</v>
      </c>
      <c r="H80" s="189">
        <f t="shared" si="10"/>
        <v>6.1901595841916679E-2</v>
      </c>
      <c r="I80" s="188">
        <v>1.7645298472200346</v>
      </c>
      <c r="J80" s="189">
        <f t="shared" si="10"/>
        <v>-3.6557268983873126E-2</v>
      </c>
      <c r="K80" s="188">
        <v>1.7241238238101733</v>
      </c>
      <c r="L80" s="189">
        <f t="shared" si="11"/>
        <v>-4.0406023409861325E-2</v>
      </c>
      <c r="M80" s="188">
        <v>1.7110911338352623</v>
      </c>
      <c r="N80" s="189">
        <f t="shared" si="9"/>
        <v>-1.3032689974910916E-2</v>
      </c>
    </row>
    <row r="81" spans="1:15" x14ac:dyDescent="0.25">
      <c r="A81" s="1">
        <v>7</v>
      </c>
      <c r="B81" s="118" t="s">
        <v>85</v>
      </c>
      <c r="C81" s="188" t="s">
        <v>229</v>
      </c>
      <c r="D81" s="189" t="s">
        <v>229</v>
      </c>
      <c r="E81" s="188">
        <v>1.8881164457962198</v>
      </c>
      <c r="F81" s="189" t="str">
        <f t="shared" si="10"/>
        <v>-</v>
      </c>
      <c r="G81" s="188">
        <v>1.8192175703500344</v>
      </c>
      <c r="H81" s="189">
        <f t="shared" si="10"/>
        <v>-6.8898875446185448E-2</v>
      </c>
      <c r="I81" s="188">
        <v>1.9193224871852017</v>
      </c>
      <c r="J81" s="189">
        <f t="shared" si="10"/>
        <v>0.10010491683516731</v>
      </c>
      <c r="K81" s="188">
        <v>1.72433691030573</v>
      </c>
      <c r="L81" s="189">
        <f t="shared" si="11"/>
        <v>-0.19498557687947171</v>
      </c>
      <c r="M81" s="188"/>
      <c r="N81" s="189"/>
    </row>
    <row r="82" spans="1:15" x14ac:dyDescent="0.25">
      <c r="A82" s="1">
        <v>8</v>
      </c>
      <c r="B82" s="118" t="s">
        <v>87</v>
      </c>
      <c r="C82" s="188">
        <v>1.6094527363184079</v>
      </c>
      <c r="D82" s="189">
        <v>-0.62316597736622437</v>
      </c>
      <c r="E82" s="188">
        <v>2.3211362542128069</v>
      </c>
      <c r="F82" s="189">
        <f t="shared" si="10"/>
        <v>0.71168351789439899</v>
      </c>
      <c r="G82" s="188">
        <v>2.2545941807044412</v>
      </c>
      <c r="H82" s="189">
        <f t="shared" si="10"/>
        <v>-6.6542073508365718E-2</v>
      </c>
      <c r="I82" s="188">
        <v>2.1911540416878497</v>
      </c>
      <c r="J82" s="189">
        <f t="shared" si="10"/>
        <v>-6.3440139016591512E-2</v>
      </c>
      <c r="K82" s="188">
        <v>2.2463008053942688</v>
      </c>
      <c r="L82" s="189">
        <f t="shared" si="11"/>
        <v>5.5146763706419133E-2</v>
      </c>
      <c r="M82" s="188"/>
      <c r="N82" s="189"/>
    </row>
    <row r="83" spans="1:15" x14ac:dyDescent="0.25">
      <c r="A83" s="1">
        <v>9</v>
      </c>
      <c r="B83" s="118" t="s">
        <v>89</v>
      </c>
      <c r="C83" s="188">
        <v>1.6124293785310735</v>
      </c>
      <c r="D83" s="189">
        <v>-0.16207830378877075</v>
      </c>
      <c r="E83" s="188">
        <v>1.8322701688555347</v>
      </c>
      <c r="F83" s="189">
        <f t="shared" si="10"/>
        <v>0.21984079032446124</v>
      </c>
      <c r="G83" s="188">
        <v>1.7204848122100853</v>
      </c>
      <c r="H83" s="189">
        <f t="shared" si="10"/>
        <v>-0.11178535664544942</v>
      </c>
      <c r="I83" s="188">
        <v>1.5222429133043658</v>
      </c>
      <c r="J83" s="189">
        <f t="shared" si="10"/>
        <v>-0.19824189890571953</v>
      </c>
      <c r="K83" s="188">
        <v>1.6637069922308545</v>
      </c>
      <c r="L83" s="189">
        <f t="shared" si="11"/>
        <v>0.14146407892648871</v>
      </c>
      <c r="M83" s="188"/>
      <c r="N83" s="189"/>
    </row>
    <row r="84" spans="1:15" x14ac:dyDescent="0.25">
      <c r="A84" s="1">
        <v>10</v>
      </c>
      <c r="B84" s="118" t="s">
        <v>91</v>
      </c>
      <c r="C84" s="188">
        <v>1.604151753758053</v>
      </c>
      <c r="D84" s="189">
        <v>-0.15011686092246102</v>
      </c>
      <c r="E84" s="188">
        <v>1.7740655987795575</v>
      </c>
      <c r="F84" s="189">
        <f t="shared" si="10"/>
        <v>0.16991384502150453</v>
      </c>
      <c r="G84" s="188">
        <v>1.7998181542657978</v>
      </c>
      <c r="H84" s="189">
        <f t="shared" si="10"/>
        <v>2.5752555486240336E-2</v>
      </c>
      <c r="I84" s="188">
        <v>1.7158382843066222</v>
      </c>
      <c r="J84" s="189">
        <f t="shared" si="10"/>
        <v>-8.3979869959175613E-2</v>
      </c>
      <c r="K84" s="188">
        <v>1.6581043409000398</v>
      </c>
      <c r="L84" s="189">
        <f t="shared" si="11"/>
        <v>-5.7733943406582444E-2</v>
      </c>
      <c r="M84" s="188"/>
      <c r="N84" s="189"/>
    </row>
    <row r="85" spans="1:15" x14ac:dyDescent="0.25">
      <c r="A85" s="1">
        <v>11</v>
      </c>
      <c r="B85" s="118" t="s">
        <v>93</v>
      </c>
      <c r="C85" s="188">
        <v>1.5221612494723511</v>
      </c>
      <c r="D85" s="189">
        <v>-0.28880028898918741</v>
      </c>
      <c r="E85" s="188">
        <v>1.7052763034655012</v>
      </c>
      <c r="F85" s="189">
        <f t="shared" si="10"/>
        <v>0.18311505399315009</v>
      </c>
      <c r="G85" s="188">
        <v>1.7077103488712988</v>
      </c>
      <c r="H85" s="189">
        <f t="shared" si="10"/>
        <v>2.4340454057976135E-3</v>
      </c>
      <c r="I85" s="188">
        <v>1.714148033924441</v>
      </c>
      <c r="J85" s="189">
        <f t="shared" si="10"/>
        <v>6.4376850531422392E-3</v>
      </c>
      <c r="K85" s="188">
        <v>1.6174845628859278</v>
      </c>
      <c r="L85" s="189">
        <f t="shared" si="11"/>
        <v>-9.6663471038513249E-2</v>
      </c>
      <c r="M85" s="188"/>
      <c r="N85" s="189"/>
    </row>
    <row r="86" spans="1:15" x14ac:dyDescent="0.25">
      <c r="A86" s="1">
        <v>12</v>
      </c>
      <c r="B86" s="118" t="s">
        <v>95</v>
      </c>
      <c r="C86" s="188">
        <v>1.5148514851485149</v>
      </c>
      <c r="D86" s="189">
        <v>-0.2858804732732747</v>
      </c>
      <c r="E86" s="188">
        <v>2.0550768077931809</v>
      </c>
      <c r="F86" s="189">
        <f t="shared" si="10"/>
        <v>0.54022532264466605</v>
      </c>
      <c r="G86" s="188">
        <v>1.7823283373997909</v>
      </c>
      <c r="H86" s="189">
        <f t="shared" si="10"/>
        <v>-0.27274847039339001</v>
      </c>
      <c r="I86" s="188">
        <v>2.0082422848380297</v>
      </c>
      <c r="J86" s="189">
        <f t="shared" si="10"/>
        <v>0.22591394743823878</v>
      </c>
      <c r="K86" s="188">
        <v>1.6460595934280144</v>
      </c>
      <c r="L86" s="189">
        <f t="shared" si="11"/>
        <v>-0.36218269141001525</v>
      </c>
      <c r="M86" s="188"/>
      <c r="N86" s="189"/>
    </row>
    <row r="87" spans="1:15" ht="15.75" x14ac:dyDescent="0.25">
      <c r="B87" s="121" t="s">
        <v>32</v>
      </c>
      <c r="C87" s="190">
        <v>1.6326868410636537</v>
      </c>
      <c r="D87" s="191">
        <v>-0.17998916915312546</v>
      </c>
      <c r="E87" s="190">
        <v>1.8117264822431312</v>
      </c>
      <c r="F87" s="191">
        <f t="shared" si="10"/>
        <v>0.17903964117947746</v>
      </c>
      <c r="G87" s="190">
        <v>1.8401059185572175</v>
      </c>
      <c r="H87" s="191">
        <f t="shared" si="10"/>
        <v>2.8379436314086348E-2</v>
      </c>
      <c r="I87" s="190">
        <v>1.8292826787253671</v>
      </c>
      <c r="J87" s="191">
        <f t="shared" si="10"/>
        <v>-1.0823239831850406E-2</v>
      </c>
      <c r="K87" s="190">
        <v>1.7667726571055375</v>
      </c>
      <c r="L87" s="191">
        <f t="shared" si="11"/>
        <v>-6.2510021619829548E-2</v>
      </c>
      <c r="M87" s="190">
        <v>1.6812278630460449</v>
      </c>
      <c r="N87" s="191">
        <v>-0.11562927143459079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2" spans="1:15" ht="48.75" customHeight="1" thickBot="1" x14ac:dyDescent="0.3">
      <c r="B92" s="278" t="s">
        <v>289</v>
      </c>
      <c r="C92" s="278"/>
      <c r="D92" s="278"/>
      <c r="E92" s="278"/>
      <c r="F92" s="278"/>
      <c r="G92" s="278"/>
      <c r="H92" s="278"/>
      <c r="I92" s="278"/>
      <c r="J92" s="278"/>
      <c r="K92" s="278"/>
      <c r="L92" s="278"/>
      <c r="M92" s="278"/>
      <c r="N92" s="278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5" t="s">
        <v>108</v>
      </c>
      <c r="C94" s="303" t="s">
        <v>109</v>
      </c>
      <c r="D94" s="304"/>
      <c r="E94" s="304"/>
      <c r="F94" s="304"/>
      <c r="G94" s="304"/>
      <c r="H94" s="304"/>
      <c r="I94" s="304"/>
      <c r="J94" s="304"/>
      <c r="K94" s="304"/>
      <c r="L94" s="304"/>
      <c r="M94" s="304"/>
      <c r="N94" s="304"/>
    </row>
    <row r="95" spans="1:15" ht="22.5" thickTop="1" thickBot="1" x14ac:dyDescent="0.3">
      <c r="B95" s="111"/>
      <c r="C95" s="305">
        <v>2020</v>
      </c>
      <c r="D95" s="306"/>
      <c r="E95" s="307">
        <v>2021</v>
      </c>
      <c r="F95" s="306"/>
      <c r="G95" s="307">
        <v>2022</v>
      </c>
      <c r="H95" s="306"/>
      <c r="I95" s="307">
        <v>2023</v>
      </c>
      <c r="J95" s="306"/>
      <c r="K95" s="307">
        <v>2024</v>
      </c>
      <c r="L95" s="306"/>
      <c r="M95" s="307">
        <v>2025</v>
      </c>
      <c r="N95" s="308"/>
    </row>
    <row r="96" spans="1:15" ht="16.5" thickTop="1" thickBot="1" x14ac:dyDescent="0.3">
      <c r="B96" s="87"/>
      <c r="C96" s="115" t="s">
        <v>71</v>
      </c>
      <c r="D96" s="116" t="str">
        <f>CONCATENATE("dif ",RIGHT(C95,2),"/",RIGHT(C95-1,2))</f>
        <v>dif 20/19</v>
      </c>
      <c r="E96" s="117" t="s">
        <v>71</v>
      </c>
      <c r="F96" s="116" t="str">
        <f>CONCATENATE("dif ",RIGHT(E95,2),"/",RIGHT(C95,2))</f>
        <v>dif 21/20</v>
      </c>
      <c r="G96" s="117" t="s">
        <v>71</v>
      </c>
      <c r="H96" s="116" t="str">
        <f>CONCATENATE("dif ",RIGHT(G95,2),"/",RIGHT(E95,2))</f>
        <v>dif 22/21</v>
      </c>
      <c r="I96" s="117" t="s">
        <v>71</v>
      </c>
      <c r="J96" s="116" t="str">
        <f>CONCATENATE("dif ",RIGHT(I95,2),"/",RIGHT(G95,2))</f>
        <v>dif 23/22</v>
      </c>
      <c r="K96" s="117" t="s">
        <v>71</v>
      </c>
      <c r="L96" s="116" t="str">
        <f>CONCATENATE("dif ",RIGHT(K95,2),"/",RIGHT(I95,2))</f>
        <v>dif 24/23</v>
      </c>
      <c r="M96" s="117" t="s">
        <v>71</v>
      </c>
      <c r="N96" s="116" t="str">
        <f>CONCATENATE("dif ",RIGHT(M95,2),"/",RIGHT(K95,2))</f>
        <v>dif 25/24</v>
      </c>
    </row>
    <row r="97" spans="2:14" x14ac:dyDescent="0.25">
      <c r="B97" s="118" t="s">
        <v>73</v>
      </c>
      <c r="C97" s="188">
        <v>2.6076737272389447</v>
      </c>
      <c r="D97" s="189">
        <v>-0.13267990049383105</v>
      </c>
      <c r="E97" s="188">
        <v>2.0474873213462423</v>
      </c>
      <c r="F97" s="189">
        <f t="shared" ref="F97:J99" si="12">IFERROR(E97-C97,"-")</f>
        <v>-0.56018640589270241</v>
      </c>
      <c r="G97" s="188">
        <v>3.307804040670804</v>
      </c>
      <c r="H97" s="189">
        <f t="shared" si="12"/>
        <v>1.2603167193245617</v>
      </c>
      <c r="I97" s="188">
        <v>2.883788097590636</v>
      </c>
      <c r="J97" s="189">
        <f t="shared" si="12"/>
        <v>-0.42401594308016799</v>
      </c>
      <c r="K97" s="188">
        <v>3.1311105540235649</v>
      </c>
      <c r="L97" s="189">
        <f t="shared" ref="L97:L99" si="13">IFERROR(K97-I97,"-")</f>
        <v>0.24732245643292883</v>
      </c>
      <c r="M97" s="188">
        <v>2.6767302538231119</v>
      </c>
      <c r="N97" s="189">
        <f t="shared" ref="N97:N102" si="14">IFERROR(M97-K97,"-")</f>
        <v>-0.45438030020045295</v>
      </c>
    </row>
    <row r="98" spans="2:14" x14ac:dyDescent="0.25">
      <c r="B98" s="118" t="s">
        <v>75</v>
      </c>
      <c r="C98" s="188">
        <v>2.5533536585365852</v>
      </c>
      <c r="D98" s="189">
        <v>-6.1918269681689786E-2</v>
      </c>
      <c r="E98" s="188">
        <v>1.9387617765814267</v>
      </c>
      <c r="F98" s="189">
        <f t="shared" si="12"/>
        <v>-0.61459188195515857</v>
      </c>
      <c r="G98" s="188">
        <v>2.9616815476190474</v>
      </c>
      <c r="H98" s="189">
        <f t="shared" si="12"/>
        <v>1.0229197710376208</v>
      </c>
      <c r="I98" s="188">
        <v>2.6695660306771418</v>
      </c>
      <c r="J98" s="189">
        <f t="shared" si="12"/>
        <v>-0.29211551694190563</v>
      </c>
      <c r="K98" s="188">
        <v>2.9329920893438808</v>
      </c>
      <c r="L98" s="189">
        <f t="shared" si="13"/>
        <v>0.26342605866673896</v>
      </c>
      <c r="M98" s="188">
        <v>2.5131739661490142</v>
      </c>
      <c r="N98" s="189">
        <f t="shared" si="14"/>
        <v>-0.41981812319486655</v>
      </c>
    </row>
    <row r="99" spans="2:14" x14ac:dyDescent="0.25">
      <c r="B99" s="118" t="s">
        <v>77</v>
      </c>
      <c r="C99" s="188">
        <v>2.6900175131348512</v>
      </c>
      <c r="D99" s="189">
        <v>8.283656752518187E-2</v>
      </c>
      <c r="E99" s="188">
        <v>2.4245351364404732</v>
      </c>
      <c r="F99" s="189">
        <f t="shared" si="12"/>
        <v>-0.26548237669437791</v>
      </c>
      <c r="G99" s="188">
        <v>2.9339544757636515</v>
      </c>
      <c r="H99" s="189">
        <f t="shared" si="12"/>
        <v>0.50941933932317829</v>
      </c>
      <c r="I99" s="188">
        <v>2.8801306922605678</v>
      </c>
      <c r="J99" s="189">
        <f t="shared" si="12"/>
        <v>-5.38237835030837E-2</v>
      </c>
      <c r="K99" s="188">
        <v>3.2440007867820615</v>
      </c>
      <c r="L99" s="189">
        <f t="shared" si="13"/>
        <v>0.36387009452149366</v>
      </c>
      <c r="M99" s="188">
        <v>2.2960590694778045</v>
      </c>
      <c r="N99" s="189">
        <f t="shared" si="14"/>
        <v>-0.94794171730425703</v>
      </c>
    </row>
    <row r="100" spans="2:14" x14ac:dyDescent="0.25">
      <c r="B100" s="118" t="s">
        <v>79</v>
      </c>
      <c r="C100" s="188" t="s">
        <v>229</v>
      </c>
      <c r="D100" s="189" t="s">
        <v>229</v>
      </c>
      <c r="E100" s="188">
        <v>2.3802021403091556</v>
      </c>
      <c r="F100" s="189" t="str">
        <f>IFERROR(E100-C100,"-")</f>
        <v>-</v>
      </c>
      <c r="G100" s="188">
        <v>3.2348952840138616</v>
      </c>
      <c r="H100" s="189">
        <f>IFERROR(G100-E100,"-")</f>
        <v>0.85469314370470606</v>
      </c>
      <c r="I100" s="188">
        <v>2.5569436374201047</v>
      </c>
      <c r="J100" s="189">
        <f>IFERROR(I100-G100,"-")</f>
        <v>-0.67795164659375695</v>
      </c>
      <c r="K100" s="188">
        <v>3.2453800194525497</v>
      </c>
      <c r="L100" s="189">
        <f>IFERROR(K100-I100,"-")</f>
        <v>0.68843638203244506</v>
      </c>
      <c r="M100" s="188">
        <v>2.5470182046453234</v>
      </c>
      <c r="N100" s="189">
        <f t="shared" si="14"/>
        <v>-0.69836181480722637</v>
      </c>
    </row>
    <row r="101" spans="2:14" x14ac:dyDescent="0.25">
      <c r="B101" s="118" t="s">
        <v>81</v>
      </c>
      <c r="C101" s="188" t="s">
        <v>229</v>
      </c>
      <c r="D101" s="189" t="s">
        <v>229</v>
      </c>
      <c r="E101" s="188">
        <v>2.2334019557385485</v>
      </c>
      <c r="F101" s="189" t="str">
        <f t="shared" ref="F101:J109" si="15">IFERROR(E101-C101,"-")</f>
        <v>-</v>
      </c>
      <c r="G101" s="188">
        <v>3.3832150009102495</v>
      </c>
      <c r="H101" s="189">
        <f t="shared" si="15"/>
        <v>1.149813045171701</v>
      </c>
      <c r="I101" s="188">
        <v>3.0859224341118492</v>
      </c>
      <c r="J101" s="189">
        <f t="shared" si="15"/>
        <v>-0.29729256679840033</v>
      </c>
      <c r="K101" s="188">
        <v>2.832846410684474</v>
      </c>
      <c r="L101" s="189">
        <f t="shared" ref="L101:L109" si="16">IFERROR(K101-I101,"-")</f>
        <v>-0.25307602342737523</v>
      </c>
      <c r="M101" s="188">
        <v>2.6949461777047983</v>
      </c>
      <c r="N101" s="189">
        <f t="shared" si="14"/>
        <v>-0.13790023297967569</v>
      </c>
    </row>
    <row r="102" spans="2:14" x14ac:dyDescent="0.25">
      <c r="B102" s="118" t="s">
        <v>83</v>
      </c>
      <c r="C102" s="188" t="s">
        <v>229</v>
      </c>
      <c r="D102" s="189" t="s">
        <v>229</v>
      </c>
      <c r="E102" s="188">
        <v>2.3079900470002763</v>
      </c>
      <c r="F102" s="189" t="str">
        <f t="shared" si="15"/>
        <v>-</v>
      </c>
      <c r="G102" s="188">
        <v>3.109444123869975</v>
      </c>
      <c r="H102" s="189">
        <f t="shared" si="15"/>
        <v>0.80145407686969872</v>
      </c>
      <c r="I102" s="188">
        <v>2.596705308114704</v>
      </c>
      <c r="J102" s="189">
        <f t="shared" si="15"/>
        <v>-0.51273881575527103</v>
      </c>
      <c r="K102" s="188">
        <v>2.5758036490008687</v>
      </c>
      <c r="L102" s="189">
        <f t="shared" si="16"/>
        <v>-2.0901659113835347E-2</v>
      </c>
      <c r="M102" s="188">
        <v>2.7010235658176627</v>
      </c>
      <c r="N102" s="189">
        <f t="shared" si="14"/>
        <v>0.12521991681679401</v>
      </c>
    </row>
    <row r="103" spans="2:14" x14ac:dyDescent="0.25">
      <c r="B103" s="118" t="s">
        <v>85</v>
      </c>
      <c r="C103" s="188" t="s">
        <v>229</v>
      </c>
      <c r="D103" s="189" t="s">
        <v>229</v>
      </c>
      <c r="E103" s="188">
        <v>2.3885906040268456</v>
      </c>
      <c r="F103" s="189" t="str">
        <f t="shared" si="15"/>
        <v>-</v>
      </c>
      <c r="G103" s="188">
        <v>3.1849586182079883</v>
      </c>
      <c r="H103" s="189">
        <f t="shared" si="15"/>
        <v>0.79636801418114267</v>
      </c>
      <c r="I103" s="188">
        <v>3.0157387369663584</v>
      </c>
      <c r="J103" s="189">
        <f t="shared" si="15"/>
        <v>-0.1692198812416299</v>
      </c>
      <c r="K103" s="188">
        <v>2.8402999062792875</v>
      </c>
      <c r="L103" s="189">
        <f t="shared" si="16"/>
        <v>-0.17543883068707089</v>
      </c>
      <c r="M103" s="188"/>
      <c r="N103" s="189"/>
    </row>
    <row r="104" spans="2:14" x14ac:dyDescent="0.25">
      <c r="B104" s="118" t="s">
        <v>87</v>
      </c>
      <c r="C104" s="188">
        <v>2.1563467492260062</v>
      </c>
      <c r="D104" s="189">
        <v>-1.1721769178512416</v>
      </c>
      <c r="E104" s="188">
        <v>2.9732067510548523</v>
      </c>
      <c r="F104" s="189">
        <f t="shared" si="15"/>
        <v>0.81686000182884611</v>
      </c>
      <c r="G104" s="188">
        <v>3.1242844230189815</v>
      </c>
      <c r="H104" s="189">
        <f t="shared" si="15"/>
        <v>0.15107767196412913</v>
      </c>
      <c r="I104" s="188">
        <v>3.4362339977313239</v>
      </c>
      <c r="J104" s="189">
        <f t="shared" si="15"/>
        <v>0.31194957471234241</v>
      </c>
      <c r="K104" s="188">
        <v>3.5430654459138693</v>
      </c>
      <c r="L104" s="189">
        <f t="shared" si="16"/>
        <v>0.10683144818254542</v>
      </c>
      <c r="M104" s="188"/>
      <c r="N104" s="189"/>
    </row>
    <row r="105" spans="2:14" x14ac:dyDescent="0.25">
      <c r="B105" s="118" t="s">
        <v>89</v>
      </c>
      <c r="C105" s="188">
        <v>2.0480898876404496</v>
      </c>
      <c r="D105" s="189">
        <v>-0.68511434295689888</v>
      </c>
      <c r="E105" s="188">
        <v>2.5249999999999999</v>
      </c>
      <c r="F105" s="189">
        <f t="shared" si="15"/>
        <v>0.47691011235955028</v>
      </c>
      <c r="G105" s="188">
        <v>2.4895774647887325</v>
      </c>
      <c r="H105" s="189">
        <f t="shared" si="15"/>
        <v>-3.542253521126737E-2</v>
      </c>
      <c r="I105" s="188">
        <v>3.6911096690460741</v>
      </c>
      <c r="J105" s="189">
        <f t="shared" si="15"/>
        <v>1.2015322042573415</v>
      </c>
      <c r="K105" s="188">
        <v>3.0518715561466845</v>
      </c>
      <c r="L105" s="189">
        <f t="shared" si="16"/>
        <v>-0.63923811289938959</v>
      </c>
      <c r="M105" s="188"/>
      <c r="N105" s="189"/>
    </row>
    <row r="106" spans="2:14" x14ac:dyDescent="0.25">
      <c r="B106" s="118" t="s">
        <v>91</v>
      </c>
      <c r="C106" s="188">
        <v>1.9945736434108527</v>
      </c>
      <c r="D106" s="189">
        <v>-0.55088090204369267</v>
      </c>
      <c r="E106" s="188">
        <v>2.6516457126712814</v>
      </c>
      <c r="F106" s="189">
        <f t="shared" si="15"/>
        <v>0.6570720692604286</v>
      </c>
      <c r="G106" s="188">
        <v>2.5124871707150187</v>
      </c>
      <c r="H106" s="189">
        <f t="shared" si="15"/>
        <v>-0.13915854195626265</v>
      </c>
      <c r="I106" s="188">
        <v>3.1644666970110755</v>
      </c>
      <c r="J106" s="189">
        <f t="shared" si="15"/>
        <v>0.65197952629605682</v>
      </c>
      <c r="K106" s="188">
        <v>2.8442896092093304</v>
      </c>
      <c r="L106" s="189">
        <f t="shared" si="16"/>
        <v>-0.32017708780174514</v>
      </c>
      <c r="M106" s="188"/>
      <c r="N106" s="189"/>
    </row>
    <row r="107" spans="2:14" x14ac:dyDescent="0.25">
      <c r="B107" s="118" t="s">
        <v>93</v>
      </c>
      <c r="C107" s="188">
        <v>2.0275888133030988</v>
      </c>
      <c r="D107" s="189">
        <v>-0.47436966691625093</v>
      </c>
      <c r="E107" s="188">
        <v>2.6218398130444021</v>
      </c>
      <c r="F107" s="189">
        <f t="shared" si="15"/>
        <v>0.59425099974130324</v>
      </c>
      <c r="G107" s="188">
        <v>2.6325889741800417</v>
      </c>
      <c r="H107" s="189">
        <f t="shared" si="15"/>
        <v>1.0749161135639618E-2</v>
      </c>
      <c r="I107" s="188">
        <v>2.9328118732450861</v>
      </c>
      <c r="J107" s="189">
        <f t="shared" si="15"/>
        <v>0.3002228990650444</v>
      </c>
      <c r="K107" s="188">
        <v>2.355100841981594</v>
      </c>
      <c r="L107" s="189">
        <f t="shared" si="16"/>
        <v>-0.5777110312634921</v>
      </c>
      <c r="M107" s="188"/>
      <c r="N107" s="189"/>
    </row>
    <row r="108" spans="2:14" x14ac:dyDescent="0.25">
      <c r="B108" s="118" t="s">
        <v>95</v>
      </c>
      <c r="C108" s="188">
        <v>2.208188489764388</v>
      </c>
      <c r="D108" s="189">
        <v>-0.45510359872455108</v>
      </c>
      <c r="E108" s="188">
        <v>3.0066280033140016</v>
      </c>
      <c r="F108" s="189">
        <f t="shared" si="15"/>
        <v>0.79843951354961362</v>
      </c>
      <c r="G108" s="188">
        <v>2.5013940170296136</v>
      </c>
      <c r="H108" s="189">
        <f t="shared" si="15"/>
        <v>-0.50523398628438798</v>
      </c>
      <c r="I108" s="188">
        <v>3.0554897314375986</v>
      </c>
      <c r="J108" s="189">
        <f t="shared" si="15"/>
        <v>0.554095714407985</v>
      </c>
      <c r="K108" s="188">
        <v>2.6187499999999999</v>
      </c>
      <c r="L108" s="189">
        <f t="shared" si="16"/>
        <v>-0.4367397314375987</v>
      </c>
      <c r="M108" s="188"/>
      <c r="N108" s="189"/>
    </row>
    <row r="109" spans="2:14" ht="15.75" x14ac:dyDescent="0.25">
      <c r="B109" s="121" t="s">
        <v>32</v>
      </c>
      <c r="C109" s="190">
        <v>2.3867207056860176</v>
      </c>
      <c r="D109" s="191">
        <v>-0.28627202416149888</v>
      </c>
      <c r="E109" s="190">
        <v>2.5550325790187771</v>
      </c>
      <c r="F109" s="191">
        <f t="shared" si="15"/>
        <v>0.16831187333275954</v>
      </c>
      <c r="G109" s="190">
        <v>2.8813730171361875</v>
      </c>
      <c r="H109" s="191">
        <f t="shared" si="15"/>
        <v>0.32634043811741043</v>
      </c>
      <c r="I109" s="190">
        <v>2.9576495214665672</v>
      </c>
      <c r="J109" s="191">
        <f t="shared" si="15"/>
        <v>7.6276504330379691E-2</v>
      </c>
      <c r="K109" s="190">
        <v>2.9253379990456496</v>
      </c>
      <c r="L109" s="191">
        <f t="shared" si="16"/>
        <v>-3.2311522420917616E-2</v>
      </c>
      <c r="M109" s="190">
        <v>2.5450260200618446</v>
      </c>
      <c r="N109" s="191">
        <v>-0.50231293249813769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4" spans="1:15" ht="48.75" customHeight="1" thickBot="1" x14ac:dyDescent="0.3">
      <c r="B114" s="278" t="s">
        <v>290</v>
      </c>
      <c r="C114" s="278"/>
      <c r="D114" s="278"/>
      <c r="E114" s="278"/>
      <c r="F114" s="278"/>
      <c r="G114" s="278"/>
      <c r="H114" s="278"/>
      <c r="I114" s="278"/>
      <c r="J114" s="278"/>
      <c r="K114" s="278"/>
      <c r="L114" s="278"/>
      <c r="M114" s="278"/>
      <c r="N114" s="278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5" t="str">
        <f>C116</f>
        <v>Reino Unido</v>
      </c>
      <c r="C116" s="303" t="s">
        <v>112</v>
      </c>
      <c r="D116" s="304"/>
      <c r="E116" s="304"/>
      <c r="F116" s="304"/>
      <c r="G116" s="304"/>
      <c r="H116" s="304"/>
      <c r="I116" s="304"/>
      <c r="J116" s="304"/>
      <c r="K116" s="304"/>
      <c r="L116" s="304"/>
      <c r="M116" s="304"/>
      <c r="N116" s="304"/>
    </row>
    <row r="117" spans="1:15" ht="22.5" thickTop="1" thickBot="1" x14ac:dyDescent="0.3">
      <c r="B117" s="111"/>
      <c r="C117" s="305">
        <v>2020</v>
      </c>
      <c r="D117" s="306"/>
      <c r="E117" s="307">
        <v>2021</v>
      </c>
      <c r="F117" s="306"/>
      <c r="G117" s="307">
        <v>2022</v>
      </c>
      <c r="H117" s="306"/>
      <c r="I117" s="307">
        <v>2023</v>
      </c>
      <c r="J117" s="306"/>
      <c r="K117" s="307">
        <v>2024</v>
      </c>
      <c r="L117" s="306"/>
      <c r="M117" s="307">
        <v>2025</v>
      </c>
      <c r="N117" s="308"/>
    </row>
    <row r="118" spans="1:15" ht="16.5" thickTop="1" thickBot="1" x14ac:dyDescent="0.3">
      <c r="B118" s="87"/>
      <c r="C118" s="115" t="s">
        <v>71</v>
      </c>
      <c r="D118" s="116" t="str">
        <f>CONCATENATE("dif ",RIGHT(C117,2),"/",RIGHT(C117-1,2))</f>
        <v>dif 20/19</v>
      </c>
      <c r="E118" s="117" t="s">
        <v>71</v>
      </c>
      <c r="F118" s="116" t="str">
        <f>CONCATENATE("dif ",RIGHT(E117,2),"/",RIGHT(C117,2))</f>
        <v>dif 21/20</v>
      </c>
      <c r="G118" s="117" t="s">
        <v>71</v>
      </c>
      <c r="H118" s="116" t="str">
        <f>CONCATENATE("dif ",RIGHT(G117,2),"/",RIGHT(E117,2))</f>
        <v>dif 22/21</v>
      </c>
      <c r="I118" s="117" t="s">
        <v>71</v>
      </c>
      <c r="J118" s="116" t="str">
        <f>CONCATENATE("dif ",RIGHT(I117,2),"/",RIGHT(G117,2))</f>
        <v>dif 23/22</v>
      </c>
      <c r="K118" s="117" t="s">
        <v>71</v>
      </c>
      <c r="L118" s="116" t="str">
        <f>CONCATENATE("dif ",RIGHT(K117,2),"/",RIGHT(I117,2))</f>
        <v>dif 24/23</v>
      </c>
      <c r="M118" s="117" t="s">
        <v>71</v>
      </c>
      <c r="N118" s="116" t="str">
        <f>CONCATENATE("dif ",RIGHT(M117,2),"/",RIGHT(K117,2))</f>
        <v>dif 25/24</v>
      </c>
    </row>
    <row r="119" spans="1:15" x14ac:dyDescent="0.25">
      <c r="B119" s="118" t="s">
        <v>73</v>
      </c>
      <c r="C119" s="188">
        <v>3.1318851823118696</v>
      </c>
      <c r="D119" s="189">
        <v>7.8307193769227013E-3</v>
      </c>
      <c r="E119" s="188">
        <v>2.0192307692307692</v>
      </c>
      <c r="F119" s="189">
        <f t="shared" ref="F119:J121" si="17">IFERROR(E119-C119,"-")</f>
        <v>-1.1126544130811005</v>
      </c>
      <c r="G119" s="188">
        <v>4.2645962732919251</v>
      </c>
      <c r="H119" s="189">
        <f t="shared" si="17"/>
        <v>2.245365504061156</v>
      </c>
      <c r="I119" s="188">
        <v>3.0178253119429592</v>
      </c>
      <c r="J119" s="189">
        <f t="shared" si="17"/>
        <v>-1.2467709613489659</v>
      </c>
      <c r="K119" s="188">
        <v>3.6590184831102612</v>
      </c>
      <c r="L119" s="189">
        <f t="shared" ref="L119:L121" si="18">IFERROR(K119-I119,"-")</f>
        <v>0.64119317116730201</v>
      </c>
      <c r="M119" s="188">
        <v>3.0897357098955132</v>
      </c>
      <c r="N119" s="189">
        <f t="shared" ref="N119:N124" si="19">IFERROR(M119-K119,"-")</f>
        <v>-0.56928277321474807</v>
      </c>
    </row>
    <row r="120" spans="1:15" x14ac:dyDescent="0.25">
      <c r="B120" s="118" t="s">
        <v>75</v>
      </c>
      <c r="C120" s="188">
        <v>2.9756733275412683</v>
      </c>
      <c r="D120" s="189">
        <v>-0.36084218558522352</v>
      </c>
      <c r="E120" s="188">
        <v>2.23943661971831</v>
      </c>
      <c r="F120" s="189">
        <f t="shared" si="17"/>
        <v>-0.73623670782295836</v>
      </c>
      <c r="G120" s="188">
        <v>4.1703617269544928</v>
      </c>
      <c r="H120" s="189">
        <f t="shared" si="17"/>
        <v>1.9309251072361828</v>
      </c>
      <c r="I120" s="188">
        <v>2.7137161084529504</v>
      </c>
      <c r="J120" s="189">
        <f t="shared" si="17"/>
        <v>-1.4566456185015424</v>
      </c>
      <c r="K120" s="188">
        <v>3.0872056015276894</v>
      </c>
      <c r="L120" s="189">
        <f t="shared" si="18"/>
        <v>0.373489493074739</v>
      </c>
      <c r="M120" s="188">
        <v>3.2123893805309733</v>
      </c>
      <c r="N120" s="189">
        <f t="shared" si="19"/>
        <v>0.12518377900328392</v>
      </c>
    </row>
    <row r="121" spans="1:15" x14ac:dyDescent="0.25">
      <c r="B121" s="118" t="s">
        <v>77</v>
      </c>
      <c r="C121" s="188">
        <v>3.9297297297297296</v>
      </c>
      <c r="D121" s="189">
        <v>0.47653637889858347</v>
      </c>
      <c r="E121" s="188">
        <v>4.3566433566433567</v>
      </c>
      <c r="F121" s="189">
        <f t="shared" si="17"/>
        <v>0.42691362691362711</v>
      </c>
      <c r="G121" s="188">
        <v>4.5992647058823533</v>
      </c>
      <c r="H121" s="189">
        <f t="shared" si="17"/>
        <v>0.24262134923899659</v>
      </c>
      <c r="I121" s="188">
        <v>2.840103716508211</v>
      </c>
      <c r="J121" s="189">
        <f t="shared" si="17"/>
        <v>-1.7591609893741422</v>
      </c>
      <c r="K121" s="188">
        <v>4.0447897623400362</v>
      </c>
      <c r="L121" s="189">
        <f t="shared" si="18"/>
        <v>1.2046860458318251</v>
      </c>
      <c r="M121" s="188">
        <v>2.5038022813688214</v>
      </c>
      <c r="N121" s="189">
        <f t="shared" si="19"/>
        <v>-1.5409874809712147</v>
      </c>
    </row>
    <row r="122" spans="1:15" x14ac:dyDescent="0.25">
      <c r="B122" s="118" t="s">
        <v>79</v>
      </c>
      <c r="C122" s="188" t="s">
        <v>229</v>
      </c>
      <c r="D122" s="189" t="s">
        <v>229</v>
      </c>
      <c r="E122" s="188">
        <v>3.0357142857142856</v>
      </c>
      <c r="F122" s="189" t="str">
        <f>IFERROR(E122-C122,"-")</f>
        <v>-</v>
      </c>
      <c r="G122" s="188">
        <v>4.1050903119868636</v>
      </c>
      <c r="H122" s="189">
        <f>IFERROR(G122-E122,"-")</f>
        <v>1.069376026272578</v>
      </c>
      <c r="I122" s="188">
        <v>3.3218390804597702</v>
      </c>
      <c r="J122" s="189">
        <f>IFERROR(I122-G122,"-")</f>
        <v>-0.78325123152709342</v>
      </c>
      <c r="K122" s="188">
        <v>5.2445652173913047</v>
      </c>
      <c r="L122" s="189">
        <f>IFERROR(K122-I122,"-")</f>
        <v>1.9227261369315345</v>
      </c>
      <c r="M122" s="188">
        <v>3.081967213114754</v>
      </c>
      <c r="N122" s="189">
        <f t="shared" si="19"/>
        <v>-2.1625980042765507</v>
      </c>
    </row>
    <row r="123" spans="1:15" x14ac:dyDescent="0.25">
      <c r="B123" s="118" t="s">
        <v>81</v>
      </c>
      <c r="C123" s="188" t="s">
        <v>229</v>
      </c>
      <c r="D123" s="189" t="s">
        <v>229</v>
      </c>
      <c r="E123" s="188">
        <v>2.6268656716417911</v>
      </c>
      <c r="F123" s="189" t="str">
        <f t="shared" ref="F123:J131" si="20">IFERROR(E123-C123,"-")</f>
        <v>-</v>
      </c>
      <c r="G123" s="188">
        <v>3.5278969957081543</v>
      </c>
      <c r="H123" s="189">
        <f t="shared" si="20"/>
        <v>0.90103132406636322</v>
      </c>
      <c r="I123" s="188">
        <v>3.4131868131868131</v>
      </c>
      <c r="J123" s="189">
        <f t="shared" si="20"/>
        <v>-0.11471018252134124</v>
      </c>
      <c r="K123" s="188">
        <v>3.4363636363636365</v>
      </c>
      <c r="L123" s="189">
        <f t="shared" ref="L123:L131" si="21">IFERROR(K123-I123,"-")</f>
        <v>2.3176823176823458E-2</v>
      </c>
      <c r="M123" s="188">
        <v>2.8464646464646464</v>
      </c>
      <c r="N123" s="189">
        <f t="shared" si="19"/>
        <v>-0.58989898989899014</v>
      </c>
    </row>
    <row r="124" spans="1:15" x14ac:dyDescent="0.25">
      <c r="B124" s="118" t="s">
        <v>83</v>
      </c>
      <c r="C124" s="188" t="s">
        <v>229</v>
      </c>
      <c r="D124" s="189" t="s">
        <v>229</v>
      </c>
      <c r="E124" s="188">
        <v>2.7709923664122136</v>
      </c>
      <c r="F124" s="189" t="str">
        <f t="shared" si="20"/>
        <v>-</v>
      </c>
      <c r="G124" s="188">
        <v>3.9064327485380117</v>
      </c>
      <c r="H124" s="189">
        <f t="shared" si="20"/>
        <v>1.1354403821257981</v>
      </c>
      <c r="I124" s="188">
        <v>2.0308571428571427</v>
      </c>
      <c r="J124" s="189">
        <f t="shared" si="20"/>
        <v>-1.875575605680869</v>
      </c>
      <c r="K124" s="188">
        <v>2.1683748169838948</v>
      </c>
      <c r="L124" s="189">
        <f t="shared" si="21"/>
        <v>0.13751767412675209</v>
      </c>
      <c r="M124" s="188">
        <v>2.9555555555555557</v>
      </c>
      <c r="N124" s="189">
        <f t="shared" si="19"/>
        <v>0.78718073857166093</v>
      </c>
    </row>
    <row r="125" spans="1:15" x14ac:dyDescent="0.25">
      <c r="B125" s="118" t="s">
        <v>85</v>
      </c>
      <c r="C125" s="188" t="s">
        <v>229</v>
      </c>
      <c r="D125" s="189" t="s">
        <v>229</v>
      </c>
      <c r="E125" s="188">
        <v>2.4885057471264367</v>
      </c>
      <c r="F125" s="189" t="str">
        <f t="shared" si="20"/>
        <v>-</v>
      </c>
      <c r="G125" s="188">
        <v>3.967123287671233</v>
      </c>
      <c r="H125" s="189">
        <f t="shared" si="20"/>
        <v>1.4786175405447963</v>
      </c>
      <c r="I125" s="188">
        <v>2.9682779456193353</v>
      </c>
      <c r="J125" s="189">
        <f t="shared" si="20"/>
        <v>-0.99884534205189768</v>
      </c>
      <c r="K125" s="188">
        <v>3.1173553719008265</v>
      </c>
      <c r="L125" s="189">
        <f t="shared" si="21"/>
        <v>0.14907742628149112</v>
      </c>
      <c r="M125" s="188"/>
      <c r="N125" s="189"/>
    </row>
    <row r="126" spans="1:15" x14ac:dyDescent="0.25">
      <c r="B126" s="118" t="s">
        <v>87</v>
      </c>
      <c r="C126" s="188">
        <v>2.2211538461538463</v>
      </c>
      <c r="D126" s="189">
        <v>-2.3625196232339092</v>
      </c>
      <c r="E126" s="188">
        <v>3.496</v>
      </c>
      <c r="F126" s="189">
        <f t="shared" si="20"/>
        <v>1.2748461538461537</v>
      </c>
      <c r="G126" s="188">
        <v>3.4109090909090911</v>
      </c>
      <c r="H126" s="189">
        <f t="shared" si="20"/>
        <v>-8.5090909090908884E-2</v>
      </c>
      <c r="I126" s="188">
        <v>2.9539918809201624</v>
      </c>
      <c r="J126" s="189">
        <f t="shared" si="20"/>
        <v>-0.45691720998892871</v>
      </c>
      <c r="K126" s="188">
        <v>3.9154135338345863</v>
      </c>
      <c r="L126" s="189">
        <f t="shared" si="21"/>
        <v>0.96142165291442394</v>
      </c>
      <c r="M126" s="188"/>
      <c r="N126" s="189"/>
    </row>
    <row r="127" spans="1:15" x14ac:dyDescent="0.25">
      <c r="B127" s="118" t="s">
        <v>89</v>
      </c>
      <c r="C127" s="188">
        <v>2.5809523809523811</v>
      </c>
      <c r="D127" s="189">
        <v>0.26986519042493207</v>
      </c>
      <c r="E127" s="188">
        <v>3.4175084175084174</v>
      </c>
      <c r="F127" s="189">
        <f t="shared" si="20"/>
        <v>0.83655603655603628</v>
      </c>
      <c r="G127" s="188">
        <v>2.1020599250936329</v>
      </c>
      <c r="H127" s="189">
        <f t="shared" si="20"/>
        <v>-1.3154484924147845</v>
      </c>
      <c r="I127" s="188">
        <v>9.6633858267716537</v>
      </c>
      <c r="J127" s="189">
        <f t="shared" si="20"/>
        <v>7.5613259016780212</v>
      </c>
      <c r="K127" s="188">
        <v>3.7929373996789728</v>
      </c>
      <c r="L127" s="189">
        <f t="shared" si="21"/>
        <v>-5.8704484270926809</v>
      </c>
      <c r="M127" s="188"/>
      <c r="N127" s="189"/>
    </row>
    <row r="128" spans="1:15" x14ac:dyDescent="0.25">
      <c r="A128" s="124"/>
      <c r="B128" s="118" t="s">
        <v>91</v>
      </c>
      <c r="C128" s="188">
        <v>1.8445945945945945</v>
      </c>
      <c r="D128" s="189">
        <v>-1.315710748916856</v>
      </c>
      <c r="E128" s="188">
        <v>3.5809682804674456</v>
      </c>
      <c r="F128" s="189">
        <f t="shared" si="20"/>
        <v>1.7363736858728511</v>
      </c>
      <c r="G128" s="188">
        <v>2.1703406813627253</v>
      </c>
      <c r="H128" s="189">
        <f t="shared" si="20"/>
        <v>-1.4106275991047204</v>
      </c>
      <c r="I128" s="188">
        <v>6.4522875816993466</v>
      </c>
      <c r="J128" s="189">
        <f t="shared" si="20"/>
        <v>4.2819469003366208</v>
      </c>
      <c r="K128" s="188">
        <v>2.9451612903225808</v>
      </c>
      <c r="L128" s="189">
        <f t="shared" si="21"/>
        <v>-3.5071262913767658</v>
      </c>
      <c r="M128" s="188"/>
      <c r="N128" s="189"/>
    </row>
    <row r="129" spans="2:15" x14ac:dyDescent="0.25">
      <c r="B129" s="118" t="s">
        <v>93</v>
      </c>
      <c r="C129" s="188">
        <v>1.9931972789115646</v>
      </c>
      <c r="D129" s="189">
        <v>-1.0625211961617491</v>
      </c>
      <c r="E129" s="188">
        <v>3.5132867132867132</v>
      </c>
      <c r="F129" s="189">
        <f t="shared" si="20"/>
        <v>1.5200894343751485</v>
      </c>
      <c r="G129" s="188">
        <v>2.9498364231188661</v>
      </c>
      <c r="H129" s="189">
        <f t="shared" si="20"/>
        <v>-0.56345029016784709</v>
      </c>
      <c r="I129" s="188">
        <v>3.0739700374531833</v>
      </c>
      <c r="J129" s="189">
        <f t="shared" si="20"/>
        <v>0.12413361433431724</v>
      </c>
      <c r="K129" s="188">
        <v>2.8123827392120075</v>
      </c>
      <c r="L129" s="189">
        <f t="shared" si="21"/>
        <v>-0.26158729824117577</v>
      </c>
      <c r="M129" s="188"/>
      <c r="N129" s="189"/>
    </row>
    <row r="130" spans="2:15" x14ac:dyDescent="0.25">
      <c r="B130" s="118" t="s">
        <v>95</v>
      </c>
      <c r="C130" s="188">
        <v>2.7306122448979591</v>
      </c>
      <c r="D130" s="189">
        <v>-0.46459627329192577</v>
      </c>
      <c r="E130" s="188">
        <v>3.325072886297376</v>
      </c>
      <c r="F130" s="189">
        <f t="shared" si="20"/>
        <v>0.5944606413994169</v>
      </c>
      <c r="G130" s="188">
        <v>2.7547600913937549</v>
      </c>
      <c r="H130" s="189">
        <f t="shared" si="20"/>
        <v>-0.57031279490362108</v>
      </c>
      <c r="I130" s="188">
        <v>3.2570671378091873</v>
      </c>
      <c r="J130" s="189">
        <f t="shared" si="20"/>
        <v>0.50230704641543245</v>
      </c>
      <c r="K130" s="188">
        <v>3.14419795221843</v>
      </c>
      <c r="L130" s="189">
        <f t="shared" si="21"/>
        <v>-0.11286918559075731</v>
      </c>
      <c r="M130" s="188"/>
      <c r="N130" s="189"/>
    </row>
    <row r="131" spans="2:15" ht="15.75" x14ac:dyDescent="0.25">
      <c r="B131" s="121" t="s">
        <v>32</v>
      </c>
      <c r="C131" s="190">
        <v>2.9005328596802844</v>
      </c>
      <c r="D131" s="191">
        <v>-0.25434285733692397</v>
      </c>
      <c r="E131" s="190">
        <v>3.3324340527577938</v>
      </c>
      <c r="F131" s="191">
        <f t="shared" si="20"/>
        <v>0.4319011930775094</v>
      </c>
      <c r="G131" s="190">
        <v>3.3630130079661189</v>
      </c>
      <c r="H131" s="191">
        <f t="shared" si="20"/>
        <v>3.0578955208325098E-2</v>
      </c>
      <c r="I131" s="190">
        <v>3.4575820024042589</v>
      </c>
      <c r="J131" s="191">
        <f t="shared" si="20"/>
        <v>9.4568994438140042E-2</v>
      </c>
      <c r="K131" s="190">
        <v>3.4272710210210211</v>
      </c>
      <c r="L131" s="191">
        <f t="shared" si="21"/>
        <v>-3.0310981383237845E-2</v>
      </c>
      <c r="M131" s="190">
        <v>2.9738609548012342</v>
      </c>
      <c r="N131" s="191">
        <v>-0.61673195675888515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4"/>
      <c r="M134" s="124"/>
      <c r="N134" s="126"/>
    </row>
    <row r="136" spans="2:15" ht="48.75" customHeight="1" thickBot="1" x14ac:dyDescent="0.3">
      <c r="B136" s="278" t="s">
        <v>291</v>
      </c>
      <c r="C136" s="278"/>
      <c r="D136" s="278"/>
      <c r="E136" s="278"/>
      <c r="F136" s="278"/>
      <c r="G136" s="278"/>
      <c r="H136" s="278"/>
      <c r="I136" s="278"/>
      <c r="J136" s="278"/>
      <c r="K136" s="278"/>
      <c r="L136" s="278"/>
      <c r="M136" s="278"/>
      <c r="N136" s="278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5" t="str">
        <f>C138</f>
        <v>Alemania</v>
      </c>
      <c r="C138" s="303" t="s">
        <v>115</v>
      </c>
      <c r="D138" s="304"/>
      <c r="E138" s="304"/>
      <c r="F138" s="304"/>
      <c r="G138" s="304"/>
      <c r="H138" s="304"/>
      <c r="I138" s="304"/>
      <c r="J138" s="304"/>
      <c r="K138" s="304"/>
      <c r="L138" s="304"/>
      <c r="M138" s="304"/>
      <c r="N138" s="304"/>
    </row>
    <row r="139" spans="2:15" ht="22.5" thickTop="1" thickBot="1" x14ac:dyDescent="0.3">
      <c r="B139" s="111"/>
      <c r="C139" s="305">
        <v>2020</v>
      </c>
      <c r="D139" s="306"/>
      <c r="E139" s="307">
        <v>2021</v>
      </c>
      <c r="F139" s="306"/>
      <c r="G139" s="307">
        <v>2022</v>
      </c>
      <c r="H139" s="306"/>
      <c r="I139" s="307">
        <v>2023</v>
      </c>
      <c r="J139" s="306"/>
      <c r="K139" s="307">
        <v>2024</v>
      </c>
      <c r="L139" s="306"/>
      <c r="M139" s="307">
        <v>2025</v>
      </c>
      <c r="N139" s="308"/>
    </row>
    <row r="140" spans="2:15" ht="16.5" thickTop="1" thickBot="1" x14ac:dyDescent="0.3">
      <c r="B140" s="87"/>
      <c r="C140" s="115" t="s">
        <v>71</v>
      </c>
      <c r="D140" s="116" t="str">
        <f>CONCATENATE("dif ",RIGHT(C139,2),"/",RIGHT(C139-1,2))</f>
        <v>dif 20/19</v>
      </c>
      <c r="E140" s="117" t="s">
        <v>71</v>
      </c>
      <c r="F140" s="116" t="str">
        <f>CONCATENATE("dif ",RIGHT(E139,2),"/",RIGHT(C139,2))</f>
        <v>dif 21/20</v>
      </c>
      <c r="G140" s="117" t="s">
        <v>71</v>
      </c>
      <c r="H140" s="116" t="str">
        <f>CONCATENATE("dif ",RIGHT(G139,2),"/",RIGHT(E139,2))</f>
        <v>dif 22/21</v>
      </c>
      <c r="I140" s="117" t="s">
        <v>71</v>
      </c>
      <c r="J140" s="116" t="str">
        <f>CONCATENATE("dif ",RIGHT(I139,2),"/",RIGHT(G139,2))</f>
        <v>dif 23/22</v>
      </c>
      <c r="K140" s="117" t="s">
        <v>71</v>
      </c>
      <c r="L140" s="116" t="str">
        <f>CONCATENATE("dif ",RIGHT(K139,2),"/",RIGHT(I139,2))</f>
        <v>dif 24/23</v>
      </c>
      <c r="M140" s="117" t="s">
        <v>71</v>
      </c>
      <c r="N140" s="116" t="str">
        <f>CONCATENATE("dif ",RIGHT(M139,2),"/",RIGHT(K139,2))</f>
        <v>dif 25/24</v>
      </c>
    </row>
    <row r="141" spans="2:15" x14ac:dyDescent="0.25">
      <c r="B141" s="118" t="s">
        <v>73</v>
      </c>
      <c r="C141" s="188">
        <v>3.2248243559718968</v>
      </c>
      <c r="D141" s="189">
        <v>6.8348353342047918E-2</v>
      </c>
      <c r="E141" s="188">
        <v>2.1025641025641026</v>
      </c>
      <c r="F141" s="189">
        <f t="shared" ref="F141:J143" si="22">IFERROR(E141-C141,"-")</f>
        <v>-1.1222602534077941</v>
      </c>
      <c r="G141" s="188">
        <v>3.4815983175604628</v>
      </c>
      <c r="H141" s="189">
        <f t="shared" si="22"/>
        <v>1.3790342149963601</v>
      </c>
      <c r="I141" s="188">
        <v>3.0078160919540231</v>
      </c>
      <c r="J141" s="189">
        <f t="shared" si="22"/>
        <v>-0.47378222560643968</v>
      </c>
      <c r="K141" s="188">
        <v>3.0891038696537678</v>
      </c>
      <c r="L141" s="189">
        <f t="shared" ref="L141:L143" si="23">IFERROR(K141-I141,"-")</f>
        <v>8.1287777699744712E-2</v>
      </c>
      <c r="M141" s="188">
        <v>2.6489778164419313</v>
      </c>
      <c r="N141" s="189">
        <f t="shared" ref="N141:N146" si="24">IFERROR(M141-K141,"-")</f>
        <v>-0.44012605321183651</v>
      </c>
    </row>
    <row r="142" spans="2:15" x14ac:dyDescent="0.25">
      <c r="B142" s="118" t="s">
        <v>75</v>
      </c>
      <c r="C142" s="188">
        <v>2.8220858895705523</v>
      </c>
      <c r="D142" s="189">
        <v>-9.7413215975064915E-2</v>
      </c>
      <c r="E142" s="188">
        <v>1.8482142857142858</v>
      </c>
      <c r="F142" s="189">
        <f t="shared" si="22"/>
        <v>-0.97387160385626648</v>
      </c>
      <c r="G142" s="188">
        <v>3.0127931769722816</v>
      </c>
      <c r="H142" s="189">
        <f t="shared" si="22"/>
        <v>1.1645788912579957</v>
      </c>
      <c r="I142" s="188">
        <v>2.9518987341772154</v>
      </c>
      <c r="J142" s="189">
        <f t="shared" si="22"/>
        <v>-6.0894442795066173E-2</v>
      </c>
      <c r="K142" s="188">
        <v>2.8136952498457743</v>
      </c>
      <c r="L142" s="189">
        <f t="shared" si="23"/>
        <v>-0.13820348433144103</v>
      </c>
      <c r="M142" s="188">
        <v>2.592752839372634</v>
      </c>
      <c r="N142" s="189">
        <f t="shared" si="24"/>
        <v>-0.22094241047314034</v>
      </c>
    </row>
    <row r="143" spans="2:15" x14ac:dyDescent="0.25">
      <c r="B143" s="118" t="s">
        <v>77</v>
      </c>
      <c r="C143" s="188">
        <v>3.3368644067796609</v>
      </c>
      <c r="D143" s="189">
        <v>0.42645278450363167</v>
      </c>
      <c r="E143" s="188">
        <v>2.0061475409836067</v>
      </c>
      <c r="F143" s="189">
        <f t="shared" si="22"/>
        <v>-1.3307168657960542</v>
      </c>
      <c r="G143" s="188">
        <v>3.3627272727272728</v>
      </c>
      <c r="H143" s="189">
        <f t="shared" si="22"/>
        <v>1.3565797317436661</v>
      </c>
      <c r="I143" s="188">
        <v>3.0681431005110733</v>
      </c>
      <c r="J143" s="189">
        <f t="shared" si="22"/>
        <v>-0.29458417221619948</v>
      </c>
      <c r="K143" s="188">
        <v>3.3477758521086076</v>
      </c>
      <c r="L143" s="189">
        <f t="shared" si="23"/>
        <v>0.27963275159753431</v>
      </c>
      <c r="M143" s="188">
        <v>2.3437806072477962</v>
      </c>
      <c r="N143" s="189">
        <f t="shared" si="24"/>
        <v>-1.0039952448608114</v>
      </c>
    </row>
    <row r="144" spans="2:15" x14ac:dyDescent="0.25">
      <c r="B144" s="118" t="s">
        <v>79</v>
      </c>
      <c r="C144" s="188" t="s">
        <v>229</v>
      </c>
      <c r="D144" s="189" t="s">
        <v>229</v>
      </c>
      <c r="E144" s="188">
        <v>3.1631419939577041</v>
      </c>
      <c r="F144" s="189" t="str">
        <f>IFERROR(E144-C144,"-")</f>
        <v>-</v>
      </c>
      <c r="G144" s="188">
        <v>3.6690140845070425</v>
      </c>
      <c r="H144" s="189">
        <f>IFERROR(G144-E144,"-")</f>
        <v>0.50587209054933835</v>
      </c>
      <c r="I144" s="188">
        <v>2.8441330998248686</v>
      </c>
      <c r="J144" s="189">
        <f>IFERROR(I144-G144,"-")</f>
        <v>-0.82488098468217386</v>
      </c>
      <c r="K144" s="188">
        <v>3.0526849037487334</v>
      </c>
      <c r="L144" s="189">
        <f>IFERROR(K144-I144,"-")</f>
        <v>0.20855180392386474</v>
      </c>
      <c r="M144" s="188">
        <v>3.4611503531786076</v>
      </c>
      <c r="N144" s="189">
        <f t="shared" si="24"/>
        <v>0.40846544942987428</v>
      </c>
    </row>
    <row r="145" spans="1:15" x14ac:dyDescent="0.25">
      <c r="B145" s="118" t="s">
        <v>81</v>
      </c>
      <c r="C145" s="188" t="s">
        <v>229</v>
      </c>
      <c r="D145" s="189" t="s">
        <v>229</v>
      </c>
      <c r="E145" s="188">
        <v>1.9887005649717515</v>
      </c>
      <c r="F145" s="189" t="str">
        <f t="shared" ref="F145:J153" si="25">IFERROR(E145-C145,"-")</f>
        <v>-</v>
      </c>
      <c r="G145" s="188">
        <v>4.1291666666666664</v>
      </c>
      <c r="H145" s="189">
        <f t="shared" si="25"/>
        <v>2.1404661016949147</v>
      </c>
      <c r="I145" s="188">
        <v>3.4113924050632911</v>
      </c>
      <c r="J145" s="189">
        <f t="shared" si="25"/>
        <v>-0.71777426160337532</v>
      </c>
      <c r="K145" s="188">
        <v>3.6533333333333333</v>
      </c>
      <c r="L145" s="189">
        <f t="shared" ref="L145:L153" si="26">IFERROR(K145-I145,"-")</f>
        <v>0.24194092827004221</v>
      </c>
      <c r="M145" s="188">
        <v>2.9536290322580645</v>
      </c>
      <c r="N145" s="189">
        <f t="shared" si="24"/>
        <v>-0.69970430107526882</v>
      </c>
    </row>
    <row r="146" spans="1:15" x14ac:dyDescent="0.25">
      <c r="B146" s="118" t="s">
        <v>83</v>
      </c>
      <c r="C146" s="188" t="s">
        <v>229</v>
      </c>
      <c r="D146" s="189" t="s">
        <v>229</v>
      </c>
      <c r="E146" s="188">
        <v>2.6368421052631579</v>
      </c>
      <c r="F146" s="189" t="str">
        <f t="shared" si="25"/>
        <v>-</v>
      </c>
      <c r="G146" s="188">
        <v>3.4030303030303028</v>
      </c>
      <c r="H146" s="189">
        <f t="shared" si="25"/>
        <v>0.76618819776714497</v>
      </c>
      <c r="I146" s="188">
        <v>2.2542372881355934</v>
      </c>
      <c r="J146" s="189">
        <f t="shared" si="25"/>
        <v>-1.1487930148947094</v>
      </c>
      <c r="K146" s="188">
        <v>3.1690821256038646</v>
      </c>
      <c r="L146" s="189">
        <f t="shared" si="26"/>
        <v>0.91484483746827117</v>
      </c>
      <c r="M146" s="188">
        <v>3.1378299120234603</v>
      </c>
      <c r="N146" s="189">
        <f t="shared" si="24"/>
        <v>-3.1252213580404309E-2</v>
      </c>
    </row>
    <row r="147" spans="1:15" x14ac:dyDescent="0.25">
      <c r="B147" s="118" t="s">
        <v>85</v>
      </c>
      <c r="C147" s="188" t="s">
        <v>229</v>
      </c>
      <c r="D147" s="189" t="s">
        <v>229</v>
      </c>
      <c r="E147" s="188">
        <v>2.7804347826086957</v>
      </c>
      <c r="F147" s="189" t="str">
        <f t="shared" si="25"/>
        <v>-</v>
      </c>
      <c r="G147" s="188">
        <v>4.4758771929824563</v>
      </c>
      <c r="H147" s="189">
        <f t="shared" si="25"/>
        <v>1.6954424103737606</v>
      </c>
      <c r="I147" s="188">
        <v>3.7583497053045187</v>
      </c>
      <c r="J147" s="189">
        <f t="shared" si="25"/>
        <v>-0.71752748767793761</v>
      </c>
      <c r="K147" s="188">
        <v>3.1252525252525252</v>
      </c>
      <c r="L147" s="189">
        <f t="shared" si="26"/>
        <v>-0.63309718005199356</v>
      </c>
      <c r="M147" s="188"/>
      <c r="N147" s="189"/>
    </row>
    <row r="148" spans="1:15" x14ac:dyDescent="0.25">
      <c r="B148" s="118" t="s">
        <v>87</v>
      </c>
      <c r="C148" s="188">
        <v>2.5029585798816569</v>
      </c>
      <c r="D148" s="189">
        <v>-2.7649972212233154</v>
      </c>
      <c r="E148" s="188">
        <v>4.0877192982456139</v>
      </c>
      <c r="F148" s="189">
        <f t="shared" si="25"/>
        <v>1.5847607183639569</v>
      </c>
      <c r="G148" s="188">
        <v>3.3537906137184117</v>
      </c>
      <c r="H148" s="189">
        <f t="shared" si="25"/>
        <v>-0.73392868452720217</v>
      </c>
      <c r="I148" s="188">
        <v>5.3590664272890489</v>
      </c>
      <c r="J148" s="189">
        <f t="shared" si="25"/>
        <v>2.0052758135706372</v>
      </c>
      <c r="K148" s="188">
        <v>4.5181674565560819</v>
      </c>
      <c r="L148" s="189">
        <f t="shared" si="26"/>
        <v>-0.84089897073296704</v>
      </c>
      <c r="M148" s="188"/>
      <c r="N148" s="189"/>
    </row>
    <row r="149" spans="1:15" x14ac:dyDescent="0.25">
      <c r="B149" s="118" t="s">
        <v>89</v>
      </c>
      <c r="C149" s="188">
        <v>2.1721311475409837</v>
      </c>
      <c r="D149" s="189">
        <v>-1.8519330235820113</v>
      </c>
      <c r="E149" s="188">
        <v>3.1950718685831623</v>
      </c>
      <c r="F149" s="189">
        <f t="shared" si="25"/>
        <v>1.0229407210421786</v>
      </c>
      <c r="G149" s="188">
        <v>2.6366197183098592</v>
      </c>
      <c r="H149" s="189">
        <f t="shared" si="25"/>
        <v>-0.55845215027330308</v>
      </c>
      <c r="I149" s="188">
        <v>3.9280575539568345</v>
      </c>
      <c r="J149" s="189">
        <f t="shared" si="25"/>
        <v>1.2914378356469753</v>
      </c>
      <c r="K149" s="188">
        <v>4.2538461538461538</v>
      </c>
      <c r="L149" s="189">
        <f t="shared" si="26"/>
        <v>0.3257885998893193</v>
      </c>
      <c r="M149" s="188"/>
      <c r="N149" s="189"/>
    </row>
    <row r="150" spans="1:15" x14ac:dyDescent="0.25">
      <c r="A150" s="124"/>
      <c r="B150" s="118" t="s">
        <v>91</v>
      </c>
      <c r="C150" s="188">
        <v>1.7105263157894737</v>
      </c>
      <c r="D150" s="189">
        <v>-1.4695254976820291</v>
      </c>
      <c r="E150" s="188">
        <v>3.2486938349007315</v>
      </c>
      <c r="F150" s="189">
        <f t="shared" si="25"/>
        <v>1.5381675191112578</v>
      </c>
      <c r="G150" s="188">
        <v>2.5501330967169475</v>
      </c>
      <c r="H150" s="189">
        <f t="shared" si="25"/>
        <v>-0.69856073818378395</v>
      </c>
      <c r="I150" s="188">
        <v>3.7243816254416959</v>
      </c>
      <c r="J150" s="189">
        <f t="shared" si="25"/>
        <v>1.1742485287247484</v>
      </c>
      <c r="K150" s="188">
        <v>4.0418250950570345</v>
      </c>
      <c r="L150" s="189">
        <f t="shared" si="26"/>
        <v>0.31744346961533854</v>
      </c>
      <c r="M150" s="188"/>
      <c r="N150" s="189"/>
    </row>
    <row r="151" spans="1:15" x14ac:dyDescent="0.25">
      <c r="B151" s="118" t="s">
        <v>93</v>
      </c>
      <c r="C151" s="188">
        <v>2.3322033898305086</v>
      </c>
      <c r="D151" s="189">
        <v>-0.92507360547465556</v>
      </c>
      <c r="E151" s="188">
        <v>3.2394548994159638</v>
      </c>
      <c r="F151" s="189">
        <f t="shared" si="25"/>
        <v>0.9072515095854552</v>
      </c>
      <c r="G151" s="188">
        <v>2.7950963222416814</v>
      </c>
      <c r="H151" s="189">
        <f t="shared" si="25"/>
        <v>-0.4443585771742824</v>
      </c>
      <c r="I151" s="188">
        <v>3.3473531544597535</v>
      </c>
      <c r="J151" s="189">
        <f t="shared" si="25"/>
        <v>0.55225683221807209</v>
      </c>
      <c r="K151" s="188">
        <v>2.7167487684729066</v>
      </c>
      <c r="L151" s="189">
        <f t="shared" si="26"/>
        <v>-0.63060438598684687</v>
      </c>
      <c r="M151" s="188"/>
      <c r="N151" s="189"/>
    </row>
    <row r="152" spans="1:15" x14ac:dyDescent="0.25">
      <c r="B152" s="118" t="s">
        <v>95</v>
      </c>
      <c r="C152" s="188">
        <v>2.5040983606557377</v>
      </c>
      <c r="D152" s="189">
        <v>-0.59926505197756841</v>
      </c>
      <c r="E152" s="188">
        <v>4.466221232368226</v>
      </c>
      <c r="F152" s="189">
        <f t="shared" si="25"/>
        <v>1.9621228717124883</v>
      </c>
      <c r="G152" s="188">
        <v>2.5809756097560976</v>
      </c>
      <c r="H152" s="189">
        <f t="shared" si="25"/>
        <v>-1.8852456226121284</v>
      </c>
      <c r="I152" s="188">
        <v>3.2475832438238452</v>
      </c>
      <c r="J152" s="189">
        <f t="shared" si="25"/>
        <v>0.66660763406774759</v>
      </c>
      <c r="K152" s="188">
        <v>2.922064244339126</v>
      </c>
      <c r="L152" s="189">
        <f t="shared" si="26"/>
        <v>-0.32551899948471918</v>
      </c>
      <c r="M152" s="188"/>
      <c r="N152" s="189"/>
    </row>
    <row r="153" spans="1:15" ht="15.75" x14ac:dyDescent="0.25">
      <c r="B153" s="121" t="s">
        <v>32</v>
      </c>
      <c r="C153" s="190">
        <v>2.8492474710091291</v>
      </c>
      <c r="D153" s="191">
        <v>-0.3826897017657398</v>
      </c>
      <c r="E153" s="190">
        <v>3.2031719989062073</v>
      </c>
      <c r="F153" s="191">
        <f t="shared" si="25"/>
        <v>0.35392452789707818</v>
      </c>
      <c r="G153" s="190">
        <v>3.0895124766894591</v>
      </c>
      <c r="H153" s="191">
        <f t="shared" si="25"/>
        <v>-0.11365952221674824</v>
      </c>
      <c r="I153" s="190">
        <v>3.262616401321718</v>
      </c>
      <c r="J153" s="191">
        <f t="shared" si="25"/>
        <v>0.17310392463225899</v>
      </c>
      <c r="K153" s="190">
        <v>3.2117772529900206</v>
      </c>
      <c r="L153" s="191">
        <f t="shared" si="26"/>
        <v>-5.0839148331697448E-2</v>
      </c>
      <c r="M153" s="190">
        <v>2.6983038164130706</v>
      </c>
      <c r="N153" s="191">
        <v>-0.4260159826660419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4"/>
      <c r="N156" s="127"/>
    </row>
    <row r="158" spans="1:15" ht="48.75" customHeight="1" thickBot="1" x14ac:dyDescent="0.3">
      <c r="B158" s="278" t="s">
        <v>292</v>
      </c>
      <c r="C158" s="278"/>
      <c r="D158" s="278"/>
      <c r="E158" s="278"/>
      <c r="F158" s="278"/>
      <c r="G158" s="278"/>
      <c r="H158" s="278"/>
      <c r="I158" s="278"/>
      <c r="J158" s="278"/>
      <c r="K158" s="278"/>
      <c r="L158" s="278"/>
      <c r="M158" s="278"/>
      <c r="N158" s="278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5" t="str">
        <f>C160</f>
        <v>Francia</v>
      </c>
      <c r="C160" s="303" t="s">
        <v>118</v>
      </c>
      <c r="D160" s="304"/>
      <c r="E160" s="304"/>
      <c r="F160" s="304"/>
      <c r="G160" s="304"/>
      <c r="H160" s="304"/>
      <c r="I160" s="304"/>
      <c r="J160" s="304"/>
      <c r="K160" s="304"/>
      <c r="L160" s="304"/>
      <c r="M160" s="304"/>
      <c r="N160" s="304"/>
    </row>
    <row r="161" spans="2:14" ht="22.5" thickTop="1" thickBot="1" x14ac:dyDescent="0.3">
      <c r="B161" s="111"/>
      <c r="C161" s="305">
        <v>2020</v>
      </c>
      <c r="D161" s="306"/>
      <c r="E161" s="307">
        <v>2021</v>
      </c>
      <c r="F161" s="306"/>
      <c r="G161" s="307">
        <v>2022</v>
      </c>
      <c r="H161" s="306"/>
      <c r="I161" s="307">
        <v>2023</v>
      </c>
      <c r="J161" s="306"/>
      <c r="K161" s="307">
        <v>2024</v>
      </c>
      <c r="L161" s="306"/>
      <c r="M161" s="307">
        <v>2025</v>
      </c>
      <c r="N161" s="308"/>
    </row>
    <row r="162" spans="2:14" ht="16.5" thickTop="1" thickBot="1" x14ac:dyDescent="0.3">
      <c r="B162" s="87"/>
      <c r="C162" s="115" t="s">
        <v>71</v>
      </c>
      <c r="D162" s="116" t="str">
        <f>CONCATENATE("dif ",RIGHT(C161,2),"/",RIGHT(C161-1,2))</f>
        <v>dif 20/19</v>
      </c>
      <c r="E162" s="117" t="s">
        <v>71</v>
      </c>
      <c r="F162" s="116" t="str">
        <f>CONCATENATE("dif ",RIGHT(E161,2),"/",RIGHT(C161,2))</f>
        <v>dif 21/20</v>
      </c>
      <c r="G162" s="117" t="s">
        <v>71</v>
      </c>
      <c r="H162" s="116" t="str">
        <f>CONCATENATE("dif ",RIGHT(G161,2),"/",RIGHT(E161,2))</f>
        <v>dif 22/21</v>
      </c>
      <c r="I162" s="117" t="s">
        <v>71</v>
      </c>
      <c r="J162" s="116" t="str">
        <f>CONCATENATE("dif ",RIGHT(I161,2),"/",RIGHT(G161,2))</f>
        <v>dif 23/22</v>
      </c>
      <c r="K162" s="117" t="s">
        <v>71</v>
      </c>
      <c r="L162" s="116" t="str">
        <f>CONCATENATE("dif ",RIGHT(K161,2),"/",RIGHT(I161,2))</f>
        <v>dif 24/23</v>
      </c>
      <c r="M162" s="117" t="s">
        <v>71</v>
      </c>
      <c r="N162" s="116" t="str">
        <f>CONCATENATE("dif ",RIGHT(M161,2),"/",RIGHT(K161,2))</f>
        <v>dif 25/24</v>
      </c>
    </row>
    <row r="163" spans="2:14" x14ac:dyDescent="0.25">
      <c r="B163" s="118" t="s">
        <v>73</v>
      </c>
      <c r="C163" s="188">
        <v>2.6476462196861625</v>
      </c>
      <c r="D163" s="189">
        <v>-0.18777697780600056</v>
      </c>
      <c r="E163" s="188">
        <v>2.2834645669291338</v>
      </c>
      <c r="F163" s="189">
        <f t="shared" ref="F163:J165" si="27">IFERROR(E163-C163,"-")</f>
        <v>-0.36418165275702874</v>
      </c>
      <c r="G163" s="188">
        <v>2.575113808801214</v>
      </c>
      <c r="H163" s="189">
        <f t="shared" si="27"/>
        <v>0.29164924187208019</v>
      </c>
      <c r="I163" s="188">
        <v>3.2624390243902437</v>
      </c>
      <c r="J163" s="189">
        <f t="shared" si="27"/>
        <v>0.6873252155890297</v>
      </c>
      <c r="K163" s="188">
        <v>3.4018801410105759</v>
      </c>
      <c r="L163" s="189">
        <f t="shared" ref="L163:L165" si="28">IFERROR(K163-I163,"-")</f>
        <v>0.13944111662033221</v>
      </c>
      <c r="M163" s="188">
        <v>2.6550116550116551</v>
      </c>
      <c r="N163" s="189">
        <f t="shared" ref="N163:N168" si="29">IFERROR(M163-K163,"-")</f>
        <v>-0.74686848599892075</v>
      </c>
    </row>
    <row r="164" spans="2:14" x14ac:dyDescent="0.25">
      <c r="B164" s="118" t="s">
        <v>75</v>
      </c>
      <c r="C164" s="188">
        <v>2.5011627906976743</v>
      </c>
      <c r="D164" s="189">
        <v>-0.39412516741750903</v>
      </c>
      <c r="E164" s="188">
        <v>1.8796561604584527</v>
      </c>
      <c r="F164" s="189">
        <f t="shared" si="27"/>
        <v>-0.62150663023922159</v>
      </c>
      <c r="G164" s="188">
        <v>2.497737556561086</v>
      </c>
      <c r="H164" s="189">
        <f t="shared" si="27"/>
        <v>0.61808139610263324</v>
      </c>
      <c r="I164" s="188">
        <v>2.7587822014051522</v>
      </c>
      <c r="J164" s="189">
        <f t="shared" si="27"/>
        <v>0.2610446448440662</v>
      </c>
      <c r="K164" s="188">
        <v>3.1713917525773194</v>
      </c>
      <c r="L164" s="189">
        <f t="shared" si="28"/>
        <v>0.41260955117216724</v>
      </c>
      <c r="M164" s="188">
        <v>2.4119850187265919</v>
      </c>
      <c r="N164" s="189">
        <f t="shared" si="29"/>
        <v>-0.75940673385072754</v>
      </c>
    </row>
    <row r="165" spans="2:14" x14ac:dyDescent="0.25">
      <c r="B165" s="118" t="s">
        <v>77</v>
      </c>
      <c r="C165" s="188">
        <v>2.3419023136246788</v>
      </c>
      <c r="D165" s="189">
        <v>-0.36957309621138679</v>
      </c>
      <c r="E165" s="188">
        <v>1.9816176470588236</v>
      </c>
      <c r="F165" s="189">
        <f t="shared" si="27"/>
        <v>-0.36028466656585523</v>
      </c>
      <c r="G165" s="188">
        <v>3.1100217864923749</v>
      </c>
      <c r="H165" s="189">
        <f t="shared" si="27"/>
        <v>1.1284041394335513</v>
      </c>
      <c r="I165" s="188">
        <v>2.9254201680672267</v>
      </c>
      <c r="J165" s="189">
        <f t="shared" si="27"/>
        <v>-0.18460161842514822</v>
      </c>
      <c r="K165" s="188">
        <v>3.0355220667384284</v>
      </c>
      <c r="L165" s="189">
        <f t="shared" si="28"/>
        <v>0.11010189867120168</v>
      </c>
      <c r="M165" s="188">
        <v>2.5060240963855422</v>
      </c>
      <c r="N165" s="189">
        <f t="shared" si="29"/>
        <v>-0.52949797035288615</v>
      </c>
    </row>
    <row r="166" spans="2:14" x14ac:dyDescent="0.25">
      <c r="B166" s="118" t="s">
        <v>79</v>
      </c>
      <c r="C166" s="188" t="s">
        <v>229</v>
      </c>
      <c r="D166" s="189" t="s">
        <v>229</v>
      </c>
      <c r="E166" s="188">
        <v>2.4818840579710146</v>
      </c>
      <c r="F166" s="189" t="str">
        <f>IFERROR(E166-C166,"-")</f>
        <v>-</v>
      </c>
      <c r="G166" s="188">
        <v>3.3536379018612523</v>
      </c>
      <c r="H166" s="189">
        <f>IFERROR(G166-E166,"-")</f>
        <v>0.87175384389023769</v>
      </c>
      <c r="I166" s="188">
        <v>2.8601626016260164</v>
      </c>
      <c r="J166" s="189">
        <f>IFERROR(I166-G166,"-")</f>
        <v>-0.49347530023523589</v>
      </c>
      <c r="K166" s="188">
        <v>3.2119658119658121</v>
      </c>
      <c r="L166" s="189">
        <f>IFERROR(K166-I166,"-")</f>
        <v>0.35180321033979567</v>
      </c>
      <c r="M166" s="188">
        <v>2.6920634920634923</v>
      </c>
      <c r="N166" s="189">
        <f t="shared" si="29"/>
        <v>-0.51990231990231983</v>
      </c>
    </row>
    <row r="167" spans="2:14" x14ac:dyDescent="0.25">
      <c r="B167" s="118" t="s">
        <v>81</v>
      </c>
      <c r="C167" s="188" t="s">
        <v>229</v>
      </c>
      <c r="D167" s="189" t="s">
        <v>229</v>
      </c>
      <c r="E167" s="188">
        <v>2.5666251556662516</v>
      </c>
      <c r="F167" s="189" t="str">
        <f t="shared" ref="F167:J175" si="30">IFERROR(E167-C167,"-")</f>
        <v>-</v>
      </c>
      <c r="G167" s="188">
        <v>2.7726495726495726</v>
      </c>
      <c r="H167" s="189">
        <f t="shared" si="30"/>
        <v>0.20602441698332097</v>
      </c>
      <c r="I167" s="188">
        <v>3.4193548387096775</v>
      </c>
      <c r="J167" s="189">
        <f t="shared" si="30"/>
        <v>0.64670526606010492</v>
      </c>
      <c r="K167" s="188">
        <v>3.05</v>
      </c>
      <c r="L167" s="189">
        <f t="shared" ref="L167:L175" si="31">IFERROR(K167-I167,"-")</f>
        <v>-0.36935483870967767</v>
      </c>
      <c r="M167" s="188">
        <v>2.6948275862068964</v>
      </c>
      <c r="N167" s="189">
        <f t="shared" si="29"/>
        <v>-0.35517241379310338</v>
      </c>
    </row>
    <row r="168" spans="2:14" x14ac:dyDescent="0.25">
      <c r="B168" s="118" t="s">
        <v>83</v>
      </c>
      <c r="C168" s="188" t="s">
        <v>229</v>
      </c>
      <c r="D168" s="189" t="s">
        <v>229</v>
      </c>
      <c r="E168" s="188">
        <v>2.5984848484848486</v>
      </c>
      <c r="F168" s="189" t="str">
        <f t="shared" si="30"/>
        <v>-</v>
      </c>
      <c r="G168" s="188">
        <v>2.6290726817042605</v>
      </c>
      <c r="H168" s="189">
        <f t="shared" si="30"/>
        <v>3.0587833219411831E-2</v>
      </c>
      <c r="I168" s="188">
        <v>3.8049886621315192</v>
      </c>
      <c r="J168" s="189">
        <f t="shared" si="30"/>
        <v>1.1759159804272588</v>
      </c>
      <c r="K168" s="188">
        <v>2.4794520547945207</v>
      </c>
      <c r="L168" s="189">
        <f t="shared" si="31"/>
        <v>-1.3255366073369985</v>
      </c>
      <c r="M168" s="188">
        <v>2.3545918367346941</v>
      </c>
      <c r="N168" s="189">
        <f t="shared" si="29"/>
        <v>-0.12486021805982661</v>
      </c>
    </row>
    <row r="169" spans="2:14" x14ac:dyDescent="0.25">
      <c r="B169" s="118" t="s">
        <v>85</v>
      </c>
      <c r="C169" s="188" t="s">
        <v>229</v>
      </c>
      <c r="D169" s="189" t="s">
        <v>229</v>
      </c>
      <c r="E169" s="188">
        <v>2.5320623916811091</v>
      </c>
      <c r="F169" s="189" t="str">
        <f t="shared" si="30"/>
        <v>-</v>
      </c>
      <c r="G169" s="188">
        <v>3.0395061728395061</v>
      </c>
      <c r="H169" s="189">
        <f t="shared" si="30"/>
        <v>0.50744378115839694</v>
      </c>
      <c r="I169" s="188">
        <v>3.221294363256785</v>
      </c>
      <c r="J169" s="189">
        <f t="shared" si="30"/>
        <v>0.18178819041727889</v>
      </c>
      <c r="K169" s="188">
        <v>2.9655963302752295</v>
      </c>
      <c r="L169" s="189">
        <f t="shared" si="31"/>
        <v>-0.25569803298155547</v>
      </c>
      <c r="M169" s="188"/>
      <c r="N169" s="189"/>
    </row>
    <row r="170" spans="2:14" x14ac:dyDescent="0.25">
      <c r="B170" s="118" t="s">
        <v>87</v>
      </c>
      <c r="C170" s="188">
        <v>2.5263157894736841</v>
      </c>
      <c r="D170" s="189">
        <v>-1.203735144312394</v>
      </c>
      <c r="E170" s="188">
        <v>3.0444444444444443</v>
      </c>
      <c r="F170" s="189">
        <f t="shared" si="30"/>
        <v>0.51812865497076022</v>
      </c>
      <c r="G170" s="188">
        <v>3.2798634812286691</v>
      </c>
      <c r="H170" s="189">
        <f t="shared" si="30"/>
        <v>0.23541903678422482</v>
      </c>
      <c r="I170" s="188">
        <v>3.7811735941320292</v>
      </c>
      <c r="J170" s="189">
        <f t="shared" si="30"/>
        <v>0.50131011290336014</v>
      </c>
      <c r="K170" s="188">
        <v>3.7306967984934087</v>
      </c>
      <c r="L170" s="189">
        <f t="shared" si="31"/>
        <v>-5.0476795638620509E-2</v>
      </c>
      <c r="M170" s="188"/>
      <c r="N170" s="189"/>
    </row>
    <row r="171" spans="2:14" x14ac:dyDescent="0.25">
      <c r="B171" s="118" t="s">
        <v>89</v>
      </c>
      <c r="C171" s="188">
        <v>2.058252427184466</v>
      </c>
      <c r="D171" s="189">
        <v>-1.5686132444573251</v>
      </c>
      <c r="E171" s="188">
        <v>2.6835443037974684</v>
      </c>
      <c r="F171" s="189">
        <f t="shared" si="30"/>
        <v>0.62529187661300245</v>
      </c>
      <c r="G171" s="188">
        <v>2.7576301615798924</v>
      </c>
      <c r="H171" s="189">
        <f t="shared" si="30"/>
        <v>7.4085857782423936E-2</v>
      </c>
      <c r="I171" s="188">
        <v>2.4781021897810218</v>
      </c>
      <c r="J171" s="189">
        <f t="shared" si="30"/>
        <v>-0.27952797179887057</v>
      </c>
      <c r="K171" s="188">
        <v>3.4807370184254607</v>
      </c>
      <c r="L171" s="189">
        <f t="shared" si="31"/>
        <v>1.0026348286444389</v>
      </c>
      <c r="M171" s="188"/>
      <c r="N171" s="189"/>
    </row>
    <row r="172" spans="2:14" x14ac:dyDescent="0.25">
      <c r="B172" s="118" t="s">
        <v>91</v>
      </c>
      <c r="C172" s="188">
        <v>1.7537688442211055</v>
      </c>
      <c r="D172" s="189">
        <v>-1.3114868877012933</v>
      </c>
      <c r="E172" s="188">
        <v>2.5418641390205372</v>
      </c>
      <c r="F172" s="189">
        <f t="shared" si="30"/>
        <v>0.78809529479943174</v>
      </c>
      <c r="G172" s="188">
        <v>2.6530303030303028</v>
      </c>
      <c r="H172" s="189">
        <f t="shared" si="30"/>
        <v>0.11116616400976564</v>
      </c>
      <c r="I172" s="188">
        <v>2.3209366391184574</v>
      </c>
      <c r="J172" s="189">
        <f t="shared" si="30"/>
        <v>-0.33209366391184547</v>
      </c>
      <c r="K172" s="188">
        <v>2.5513196480938416</v>
      </c>
      <c r="L172" s="189">
        <f t="shared" si="31"/>
        <v>0.23038300897538422</v>
      </c>
      <c r="M172" s="188"/>
      <c r="N172" s="189"/>
    </row>
    <row r="173" spans="2:14" x14ac:dyDescent="0.25">
      <c r="B173" s="118" t="s">
        <v>93</v>
      </c>
      <c r="C173" s="188">
        <v>1.9065420560747663</v>
      </c>
      <c r="D173" s="189">
        <v>-1.0373523333641776</v>
      </c>
      <c r="E173" s="188">
        <v>2.5369515011547343</v>
      </c>
      <c r="F173" s="189">
        <f t="shared" si="30"/>
        <v>0.63040944507996799</v>
      </c>
      <c r="G173" s="188">
        <v>2.5677083333333335</v>
      </c>
      <c r="H173" s="189">
        <f t="shared" si="30"/>
        <v>3.0756832178599147E-2</v>
      </c>
      <c r="I173" s="188">
        <v>2.8983739837398375</v>
      </c>
      <c r="J173" s="189">
        <f t="shared" si="30"/>
        <v>0.33066565040650397</v>
      </c>
      <c r="K173" s="188">
        <v>2.5370138017565873</v>
      </c>
      <c r="L173" s="189">
        <f t="shared" si="31"/>
        <v>-0.36136018198325015</v>
      </c>
      <c r="M173" s="188"/>
      <c r="N173" s="189"/>
    </row>
    <row r="174" spans="2:14" x14ac:dyDescent="0.25">
      <c r="B174" s="118" t="s">
        <v>95</v>
      </c>
      <c r="C174" s="188">
        <v>2.4467213114754101</v>
      </c>
      <c r="D174" s="189">
        <v>-0.66024789435927378</v>
      </c>
      <c r="E174" s="188">
        <v>2.8218085106382977</v>
      </c>
      <c r="F174" s="189">
        <f t="shared" si="30"/>
        <v>0.37508719916288769</v>
      </c>
      <c r="G174" s="188">
        <v>2.5267770204479065</v>
      </c>
      <c r="H174" s="189">
        <f t="shared" si="30"/>
        <v>-0.29503149019039121</v>
      </c>
      <c r="I174" s="188">
        <v>3.1310344827586207</v>
      </c>
      <c r="J174" s="189">
        <f t="shared" si="30"/>
        <v>0.6042574623107142</v>
      </c>
      <c r="K174" s="188">
        <v>2.7957497048406141</v>
      </c>
      <c r="L174" s="189">
        <f t="shared" si="31"/>
        <v>-0.33528477791800659</v>
      </c>
      <c r="M174" s="188"/>
      <c r="N174" s="189"/>
    </row>
    <row r="175" spans="2:14" ht="15.75" x14ac:dyDescent="0.25">
      <c r="B175" s="121" t="s">
        <v>32</v>
      </c>
      <c r="C175" s="190">
        <v>2.4136269786648312</v>
      </c>
      <c r="D175" s="191">
        <v>-0.61364981370362903</v>
      </c>
      <c r="E175" s="190">
        <v>2.5581721334454723</v>
      </c>
      <c r="F175" s="191">
        <f t="shared" si="30"/>
        <v>0.14454515478064112</v>
      </c>
      <c r="G175" s="190">
        <v>2.8007977475363681</v>
      </c>
      <c r="H175" s="191">
        <f t="shared" si="30"/>
        <v>0.24262561409089578</v>
      </c>
      <c r="I175" s="190">
        <v>3.0535632708999545</v>
      </c>
      <c r="J175" s="191">
        <f t="shared" si="30"/>
        <v>0.25276552336358638</v>
      </c>
      <c r="K175" s="190">
        <v>3.078673981557138</v>
      </c>
      <c r="L175" s="191">
        <f t="shared" si="31"/>
        <v>2.511071065718351E-2</v>
      </c>
      <c r="M175" s="190">
        <v>2.5515789473684212</v>
      </c>
      <c r="N175" s="191">
        <v>-0.56274811486023291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8"/>
      <c r="L177" s="107"/>
      <c r="M177" s="107"/>
      <c r="N177" s="107"/>
    </row>
    <row r="180" spans="1:15" ht="48.75" customHeight="1" thickBot="1" x14ac:dyDescent="0.3">
      <c r="B180" s="278" t="s">
        <v>293</v>
      </c>
      <c r="C180" s="278"/>
      <c r="D180" s="278"/>
      <c r="E180" s="278"/>
      <c r="F180" s="278"/>
      <c r="G180" s="278"/>
      <c r="H180" s="278"/>
      <c r="I180" s="278"/>
      <c r="J180" s="278"/>
      <c r="K180" s="278"/>
      <c r="L180" s="278"/>
      <c r="M180" s="278"/>
      <c r="N180" s="278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5" t="str">
        <f>C182</f>
        <v>Bélgica</v>
      </c>
      <c r="C182" s="303" t="s">
        <v>121</v>
      </c>
      <c r="D182" s="304"/>
      <c r="E182" s="304"/>
      <c r="F182" s="304"/>
      <c r="G182" s="304"/>
      <c r="H182" s="304"/>
      <c r="I182" s="304"/>
      <c r="J182" s="304"/>
      <c r="K182" s="304"/>
      <c r="L182" s="304"/>
      <c r="M182" s="304"/>
      <c r="N182" s="304"/>
    </row>
    <row r="183" spans="1:15" ht="22.5" thickTop="1" thickBot="1" x14ac:dyDescent="0.3">
      <c r="B183" s="111"/>
      <c r="C183" s="305">
        <v>2020</v>
      </c>
      <c r="D183" s="306"/>
      <c r="E183" s="307">
        <v>2021</v>
      </c>
      <c r="F183" s="306"/>
      <c r="G183" s="307">
        <v>2022</v>
      </c>
      <c r="H183" s="306"/>
      <c r="I183" s="307">
        <v>2023</v>
      </c>
      <c r="J183" s="306"/>
      <c r="K183" s="307">
        <v>2024</v>
      </c>
      <c r="L183" s="306"/>
      <c r="M183" s="307">
        <v>2025</v>
      </c>
      <c r="N183" s="308"/>
    </row>
    <row r="184" spans="1:15" ht="16.5" thickTop="1" thickBot="1" x14ac:dyDescent="0.3">
      <c r="B184" s="87"/>
      <c r="C184" s="115" t="s">
        <v>71</v>
      </c>
      <c r="D184" s="116" t="str">
        <f>CONCATENATE("dif ",RIGHT(C183,2),"/",RIGHT(C183-1,2))</f>
        <v>dif 20/19</v>
      </c>
      <c r="E184" s="117" t="s">
        <v>71</v>
      </c>
      <c r="F184" s="116" t="str">
        <f>CONCATENATE("dif ",RIGHT(E183,2),"/",RIGHT(C183,2))</f>
        <v>dif 21/20</v>
      </c>
      <c r="G184" s="117" t="s">
        <v>71</v>
      </c>
      <c r="H184" s="116" t="str">
        <f>CONCATENATE("dif ",RIGHT(G183,2),"/",RIGHT(E183,2))</f>
        <v>dif 22/21</v>
      </c>
      <c r="I184" s="117" t="s">
        <v>71</v>
      </c>
      <c r="J184" s="116" t="str">
        <f>CONCATENATE("dif ",RIGHT(I183,2),"/",RIGHT(G183,2))</f>
        <v>dif 23/22</v>
      </c>
      <c r="K184" s="117" t="s">
        <v>71</v>
      </c>
      <c r="L184" s="116" t="str">
        <f>CONCATENATE("dif ",RIGHT(K183,2),"/",RIGHT(I183,2))</f>
        <v>dif 24/23</v>
      </c>
      <c r="M184" s="117" t="s">
        <v>71</v>
      </c>
      <c r="N184" s="116" t="str">
        <f>CONCATENATE("dif ",RIGHT(M183,2),"/",RIGHT(K183,2))</f>
        <v>dif 25/24</v>
      </c>
    </row>
    <row r="185" spans="1:15" x14ac:dyDescent="0.25">
      <c r="A185" s="124"/>
      <c r="B185" s="118" t="s">
        <v>73</v>
      </c>
      <c r="C185" s="188">
        <v>2.3828828828828827</v>
      </c>
      <c r="D185" s="189">
        <v>0.15529667598633123</v>
      </c>
      <c r="E185" s="188">
        <v>1.6046511627906976</v>
      </c>
      <c r="F185" s="189">
        <f t="shared" ref="F185:J187" si="32">IFERROR(E185-C185,"-")</f>
        <v>-0.77823172009218511</v>
      </c>
      <c r="G185" s="188">
        <v>2.4294117647058822</v>
      </c>
      <c r="H185" s="189">
        <f t="shared" si="32"/>
        <v>0.82476060191518452</v>
      </c>
      <c r="I185" s="188">
        <v>2.5857740585774058</v>
      </c>
      <c r="J185" s="189">
        <f t="shared" si="32"/>
        <v>0.15636229387152367</v>
      </c>
      <c r="K185" s="188">
        <v>2.8736462093862816</v>
      </c>
      <c r="L185" s="189">
        <f t="shared" ref="L185:L187" si="33">IFERROR(K185-I185,"-")</f>
        <v>0.28787215080887574</v>
      </c>
      <c r="M185" s="188">
        <v>2.8328173374613002</v>
      </c>
      <c r="N185" s="189">
        <f t="shared" ref="N185:N190" si="34">IFERROR(M185-K185,"-")</f>
        <v>-4.0828871924981414E-2</v>
      </c>
    </row>
    <row r="186" spans="1:15" x14ac:dyDescent="0.25">
      <c r="B186" s="118" t="s">
        <v>75</v>
      </c>
      <c r="C186" s="188">
        <v>2.25</v>
      </c>
      <c r="D186" s="189">
        <v>-0.32971014492753614</v>
      </c>
      <c r="E186" s="188">
        <v>2.2702702702702702</v>
      </c>
      <c r="F186" s="189">
        <f t="shared" si="32"/>
        <v>2.0270270270270174E-2</v>
      </c>
      <c r="G186" s="188">
        <v>2.8324022346368714</v>
      </c>
      <c r="H186" s="189">
        <f t="shared" si="32"/>
        <v>0.56213196436660118</v>
      </c>
      <c r="I186" s="188">
        <v>2.5750000000000002</v>
      </c>
      <c r="J186" s="189">
        <f t="shared" si="32"/>
        <v>-0.25740223463687117</v>
      </c>
      <c r="K186" s="188">
        <v>2.9292929292929295</v>
      </c>
      <c r="L186" s="189">
        <f t="shared" si="33"/>
        <v>0.35429292929292933</v>
      </c>
      <c r="M186" s="188">
        <v>2.6576576576576576</v>
      </c>
      <c r="N186" s="189">
        <f t="shared" si="34"/>
        <v>-0.2716352716352719</v>
      </c>
    </row>
    <row r="187" spans="1:15" x14ac:dyDescent="0.25">
      <c r="B187" s="118" t="s">
        <v>77</v>
      </c>
      <c r="C187" s="188">
        <v>3.0352941176470587</v>
      </c>
      <c r="D187" s="189">
        <v>-1.5430520034100503E-2</v>
      </c>
      <c r="E187" s="188">
        <v>1.65625</v>
      </c>
      <c r="F187" s="189">
        <f t="shared" si="32"/>
        <v>-1.3790441176470587</v>
      </c>
      <c r="G187" s="188">
        <v>2.5076142131979697</v>
      </c>
      <c r="H187" s="189">
        <f t="shared" si="32"/>
        <v>0.85136421319796973</v>
      </c>
      <c r="I187" s="188">
        <v>4.1359223300970873</v>
      </c>
      <c r="J187" s="189">
        <f t="shared" si="32"/>
        <v>1.6283081168991176</v>
      </c>
      <c r="K187" s="188">
        <v>2.9226519337016574</v>
      </c>
      <c r="L187" s="189">
        <f t="shared" si="33"/>
        <v>-1.2132703963954299</v>
      </c>
      <c r="M187" s="188">
        <v>2.2459016393442623</v>
      </c>
      <c r="N187" s="189">
        <f t="shared" si="34"/>
        <v>-0.67675029435739509</v>
      </c>
    </row>
    <row r="188" spans="1:15" x14ac:dyDescent="0.25">
      <c r="B188" s="118" t="s">
        <v>79</v>
      </c>
      <c r="C188" s="188" t="s">
        <v>229</v>
      </c>
      <c r="D188" s="189" t="s">
        <v>229</v>
      </c>
      <c r="E188" s="188">
        <v>1.8064516129032258</v>
      </c>
      <c r="F188" s="189" t="str">
        <f>IFERROR(E188-C188,"-")</f>
        <v>-</v>
      </c>
      <c r="G188" s="188">
        <v>2.7118644067796609</v>
      </c>
      <c r="H188" s="189">
        <f>IFERROR(G188-E188,"-")</f>
        <v>0.90541279387643514</v>
      </c>
      <c r="I188" s="188">
        <v>3.5714285714285716</v>
      </c>
      <c r="J188" s="189">
        <f>IFERROR(I188-G188,"-")</f>
        <v>0.85956416464891072</v>
      </c>
      <c r="K188" s="188">
        <v>4.037383177570093</v>
      </c>
      <c r="L188" s="189">
        <f>IFERROR(K188-I188,"-")</f>
        <v>0.4659546061415214</v>
      </c>
      <c r="M188" s="188">
        <v>2.1925925925925926</v>
      </c>
      <c r="N188" s="189">
        <f t="shared" si="34"/>
        <v>-1.8447905849775004</v>
      </c>
    </row>
    <row r="189" spans="1:15" x14ac:dyDescent="0.25">
      <c r="B189" s="118" t="s">
        <v>81</v>
      </c>
      <c r="C189" s="188" t="s">
        <v>229</v>
      </c>
      <c r="D189" s="189" t="s">
        <v>229</v>
      </c>
      <c r="E189" s="188">
        <v>2.2323232323232323</v>
      </c>
      <c r="F189" s="189" t="str">
        <f t="shared" ref="F189:J197" si="35">IFERROR(E189-C189,"-")</f>
        <v>-</v>
      </c>
      <c r="G189" s="188">
        <v>2.7777777777777777</v>
      </c>
      <c r="H189" s="189">
        <f t="shared" si="35"/>
        <v>0.54545454545454541</v>
      </c>
      <c r="I189" s="188">
        <v>2.8666666666666667</v>
      </c>
      <c r="J189" s="189">
        <f t="shared" si="35"/>
        <v>8.8888888888889017E-2</v>
      </c>
      <c r="K189" s="188">
        <v>2.7593984962406015</v>
      </c>
      <c r="L189" s="189">
        <f t="shared" ref="L189:L197" si="36">IFERROR(K189-I189,"-")</f>
        <v>-0.10726817042606518</v>
      </c>
      <c r="M189" s="188">
        <v>2.5947712418300655</v>
      </c>
      <c r="N189" s="189">
        <f t="shared" si="34"/>
        <v>-0.16462725441053605</v>
      </c>
    </row>
    <row r="190" spans="1:15" x14ac:dyDescent="0.25">
      <c r="B190" s="118" t="s">
        <v>122</v>
      </c>
      <c r="C190" s="188" t="s">
        <v>229</v>
      </c>
      <c r="D190" s="189" t="s">
        <v>229</v>
      </c>
      <c r="E190" s="188">
        <v>2.5396825396825395</v>
      </c>
      <c r="F190" s="189" t="str">
        <f t="shared" si="35"/>
        <v>-</v>
      </c>
      <c r="G190" s="188">
        <v>2.7916666666666665</v>
      </c>
      <c r="H190" s="189">
        <f t="shared" si="35"/>
        <v>0.25198412698412698</v>
      </c>
      <c r="I190" s="188">
        <v>2.5697674418604652</v>
      </c>
      <c r="J190" s="189">
        <f t="shared" si="35"/>
        <v>-0.22189922480620128</v>
      </c>
      <c r="K190" s="188">
        <v>2.324786324786325</v>
      </c>
      <c r="L190" s="189">
        <f t="shared" si="36"/>
        <v>-0.24498111707414028</v>
      </c>
      <c r="M190" s="188">
        <v>2.5315315315315314</v>
      </c>
      <c r="N190" s="189">
        <f t="shared" si="34"/>
        <v>0.20674520674520647</v>
      </c>
    </row>
    <row r="191" spans="1:15" x14ac:dyDescent="0.25">
      <c r="B191" s="118" t="s">
        <v>85</v>
      </c>
      <c r="C191" s="188" t="s">
        <v>229</v>
      </c>
      <c r="D191" s="189" t="s">
        <v>229</v>
      </c>
      <c r="E191" s="188">
        <v>2.5662650602409638</v>
      </c>
      <c r="F191" s="189" t="str">
        <f t="shared" si="35"/>
        <v>-</v>
      </c>
      <c r="G191" s="188">
        <v>3.7247706422018347</v>
      </c>
      <c r="H191" s="189">
        <f t="shared" si="35"/>
        <v>1.1585055819608709</v>
      </c>
      <c r="I191" s="188">
        <v>2.5481481481481483</v>
      </c>
      <c r="J191" s="189">
        <f t="shared" si="35"/>
        <v>-1.1766224940536865</v>
      </c>
      <c r="K191" s="188">
        <v>2.6422764227642275</v>
      </c>
      <c r="L191" s="189">
        <f t="shared" si="36"/>
        <v>9.4128274616079199E-2</v>
      </c>
      <c r="M191" s="188"/>
      <c r="N191" s="189"/>
    </row>
    <row r="192" spans="1:15" x14ac:dyDescent="0.25">
      <c r="B192" s="118" t="s">
        <v>87</v>
      </c>
      <c r="C192" s="188">
        <v>2.5714285714285716</v>
      </c>
      <c r="D192" s="189">
        <v>-0.25357142857142856</v>
      </c>
      <c r="E192" s="188">
        <v>2.8058252427184467</v>
      </c>
      <c r="F192" s="189">
        <f t="shared" si="35"/>
        <v>0.23439667128987507</v>
      </c>
      <c r="G192" s="188">
        <v>2.5</v>
      </c>
      <c r="H192" s="189">
        <f t="shared" si="35"/>
        <v>-0.30582524271844669</v>
      </c>
      <c r="I192" s="188">
        <v>3.4957983193277311</v>
      </c>
      <c r="J192" s="189">
        <f t="shared" si="35"/>
        <v>0.99579831932773111</v>
      </c>
      <c r="K192" s="188">
        <v>4.1339285714285712</v>
      </c>
      <c r="L192" s="189">
        <f t="shared" si="36"/>
        <v>0.63813025210084007</v>
      </c>
      <c r="M192" s="188"/>
      <c r="N192" s="189"/>
    </row>
    <row r="193" spans="2:15" x14ac:dyDescent="0.25">
      <c r="B193" s="118" t="s">
        <v>89</v>
      </c>
      <c r="C193" s="188">
        <v>1.8918918918918919</v>
      </c>
      <c r="D193" s="189">
        <v>-1.1735286688557716</v>
      </c>
      <c r="E193" s="188">
        <v>2.9885057471264367</v>
      </c>
      <c r="F193" s="189">
        <f t="shared" si="35"/>
        <v>1.0966138552345448</v>
      </c>
      <c r="G193" s="188">
        <v>2.5051546391752577</v>
      </c>
      <c r="H193" s="189">
        <f t="shared" si="35"/>
        <v>-0.48335110795117897</v>
      </c>
      <c r="I193" s="188">
        <v>2.8235294117647061</v>
      </c>
      <c r="J193" s="189">
        <f t="shared" si="35"/>
        <v>0.31837477258944835</v>
      </c>
      <c r="K193" s="188">
        <v>3.06993006993007</v>
      </c>
      <c r="L193" s="189">
        <f t="shared" si="36"/>
        <v>0.24640065816536394</v>
      </c>
      <c r="M193" s="188"/>
      <c r="N193" s="189"/>
    </row>
    <row r="194" spans="2:15" x14ac:dyDescent="0.25">
      <c r="B194" s="118" t="s">
        <v>91</v>
      </c>
      <c r="C194" s="188">
        <v>2.7872340425531914</v>
      </c>
      <c r="D194" s="189">
        <v>-3.454813566463022E-2</v>
      </c>
      <c r="E194" s="188">
        <v>2.3220338983050848</v>
      </c>
      <c r="F194" s="189">
        <f t="shared" si="35"/>
        <v>-0.46520014424810663</v>
      </c>
      <c r="G194" s="188">
        <v>2.6454545454545455</v>
      </c>
      <c r="H194" s="189">
        <f t="shared" si="35"/>
        <v>0.32342064714946073</v>
      </c>
      <c r="I194" s="188">
        <v>2.8175182481751824</v>
      </c>
      <c r="J194" s="189">
        <f t="shared" si="35"/>
        <v>0.17206370272063687</v>
      </c>
      <c r="K194" s="188">
        <v>2.3806451612903228</v>
      </c>
      <c r="L194" s="189">
        <f t="shared" si="36"/>
        <v>-0.4368730868848596</v>
      </c>
      <c r="M194" s="188"/>
      <c r="N194" s="189"/>
    </row>
    <row r="195" spans="2:15" x14ac:dyDescent="0.25">
      <c r="B195" s="118" t="s">
        <v>93</v>
      </c>
      <c r="C195" s="188">
        <v>1.7192982456140351</v>
      </c>
      <c r="D195" s="189">
        <v>-1.1386252516537243</v>
      </c>
      <c r="E195" s="188">
        <v>2.6972704714640199</v>
      </c>
      <c r="F195" s="189">
        <f t="shared" si="35"/>
        <v>0.97797222584998478</v>
      </c>
      <c r="G195" s="188">
        <v>2.5934065934065935</v>
      </c>
      <c r="H195" s="189">
        <f t="shared" si="35"/>
        <v>-0.10386387805742636</v>
      </c>
      <c r="I195" s="188">
        <v>3.5201465201465201</v>
      </c>
      <c r="J195" s="189">
        <f t="shared" si="35"/>
        <v>0.92673992673992656</v>
      </c>
      <c r="K195" s="188">
        <v>2.2638297872340427</v>
      </c>
      <c r="L195" s="189">
        <f t="shared" si="36"/>
        <v>-1.2563167329124774</v>
      </c>
      <c r="M195" s="188"/>
      <c r="N195" s="189"/>
    </row>
    <row r="196" spans="2:15" x14ac:dyDescent="0.25">
      <c r="B196" s="118" t="s">
        <v>95</v>
      </c>
      <c r="C196" s="188">
        <v>2.6081081081081079</v>
      </c>
      <c r="D196" s="189">
        <v>0.38992628992628964</v>
      </c>
      <c r="E196" s="188">
        <v>2.7487437185929648</v>
      </c>
      <c r="F196" s="189">
        <f t="shared" si="35"/>
        <v>0.14063561048485695</v>
      </c>
      <c r="G196" s="188">
        <v>2.3558718861209966</v>
      </c>
      <c r="H196" s="189">
        <f t="shared" si="35"/>
        <v>-0.39287183247196822</v>
      </c>
      <c r="I196" s="188">
        <v>2.9561403508771931</v>
      </c>
      <c r="J196" s="189">
        <f t="shared" si="35"/>
        <v>0.60026846475619644</v>
      </c>
      <c r="K196" s="188">
        <v>2.6193548387096772</v>
      </c>
      <c r="L196" s="189">
        <f t="shared" si="36"/>
        <v>-0.33678551216751584</v>
      </c>
      <c r="M196" s="188"/>
      <c r="N196" s="189"/>
    </row>
    <row r="197" spans="2:15" ht="15.75" x14ac:dyDescent="0.25">
      <c r="B197" s="121" t="s">
        <v>32</v>
      </c>
      <c r="C197" s="190">
        <v>2.3633004926108376</v>
      </c>
      <c r="D197" s="191">
        <v>-0.28023050469374455</v>
      </c>
      <c r="E197" s="190">
        <v>2.5423728813559321</v>
      </c>
      <c r="F197" s="191">
        <f t="shared" si="35"/>
        <v>0.17907238874509446</v>
      </c>
      <c r="G197" s="190">
        <v>2.642156862745098</v>
      </c>
      <c r="H197" s="191">
        <f t="shared" si="35"/>
        <v>9.9783981389165888E-2</v>
      </c>
      <c r="I197" s="190">
        <v>3.0806618407445709</v>
      </c>
      <c r="J197" s="191">
        <f t="shared" si="35"/>
        <v>0.43850497799947297</v>
      </c>
      <c r="K197" s="190">
        <v>2.8292682926829267</v>
      </c>
      <c r="L197" s="191">
        <f t="shared" si="36"/>
        <v>-0.25139354806164427</v>
      </c>
      <c r="M197" s="190">
        <v>2.56433007985803</v>
      </c>
      <c r="N197" s="191">
        <v>-0.37347840977671831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4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78" t="s">
        <v>294</v>
      </c>
      <c r="C202" s="278"/>
      <c r="D202" s="278"/>
      <c r="E202" s="278"/>
      <c r="F202" s="278"/>
      <c r="G202" s="278"/>
      <c r="H202" s="278"/>
      <c r="I202" s="278"/>
      <c r="J202" s="278"/>
      <c r="K202" s="278"/>
      <c r="L202" s="278"/>
      <c r="M202" s="278"/>
      <c r="N202" s="278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5" t="str">
        <f>C204</f>
        <v>Países Bajos</v>
      </c>
      <c r="C204" s="303" t="s">
        <v>125</v>
      </c>
      <c r="D204" s="304"/>
      <c r="E204" s="304"/>
      <c r="F204" s="304"/>
      <c r="G204" s="304"/>
      <c r="H204" s="304"/>
      <c r="I204" s="304"/>
      <c r="J204" s="304"/>
      <c r="K204" s="304"/>
      <c r="L204" s="304"/>
      <c r="M204" s="304"/>
      <c r="N204" s="304"/>
    </row>
    <row r="205" spans="2:15" ht="22.5" thickTop="1" thickBot="1" x14ac:dyDescent="0.3">
      <c r="B205" s="111"/>
      <c r="C205" s="305">
        <v>2020</v>
      </c>
      <c r="D205" s="306"/>
      <c r="E205" s="307">
        <v>2021</v>
      </c>
      <c r="F205" s="306"/>
      <c r="G205" s="307">
        <v>2022</v>
      </c>
      <c r="H205" s="306"/>
      <c r="I205" s="307">
        <v>2023</v>
      </c>
      <c r="J205" s="306"/>
      <c r="K205" s="307">
        <v>2024</v>
      </c>
      <c r="L205" s="306"/>
      <c r="M205" s="307">
        <v>2025</v>
      </c>
      <c r="N205" s="308"/>
    </row>
    <row r="206" spans="2:15" ht="16.5" thickTop="1" thickBot="1" x14ac:dyDescent="0.3">
      <c r="B206" s="87"/>
      <c r="C206" s="115" t="s">
        <v>71</v>
      </c>
      <c r="D206" s="116" t="str">
        <f>CONCATENATE("dif ",RIGHT(C205,2),"/",RIGHT(C205-1,2))</f>
        <v>dif 20/19</v>
      </c>
      <c r="E206" s="117" t="s">
        <v>71</v>
      </c>
      <c r="F206" s="116" t="str">
        <f>CONCATENATE("dif ",RIGHT(E205,2),"/",RIGHT(C205,2))</f>
        <v>dif 21/20</v>
      </c>
      <c r="G206" s="117" t="s">
        <v>71</v>
      </c>
      <c r="H206" s="116" t="str">
        <f>CONCATENATE("dif ",RIGHT(G205,2),"/",RIGHT(E205,2))</f>
        <v>dif 22/21</v>
      </c>
      <c r="I206" s="117" t="s">
        <v>71</v>
      </c>
      <c r="J206" s="116" t="str">
        <f>CONCATENATE("dif ",RIGHT(I205,2),"/",RIGHT(G205,2))</f>
        <v>dif 23/22</v>
      </c>
      <c r="K206" s="117" t="s">
        <v>71</v>
      </c>
      <c r="L206" s="116" t="str">
        <f>CONCATENATE("dif ",RIGHT(K205,2),"/",RIGHT(I205,2))</f>
        <v>dif 24/23</v>
      </c>
      <c r="M206" s="117" t="s">
        <v>71</v>
      </c>
      <c r="N206" s="116" t="str">
        <f>CONCATENATE("dif ",RIGHT(M205,2),"/",RIGHT(K205,2))</f>
        <v>dif 25/24</v>
      </c>
    </row>
    <row r="207" spans="2:15" x14ac:dyDescent="0.25">
      <c r="B207" s="118" t="s">
        <v>73</v>
      </c>
      <c r="C207" s="188">
        <v>2.8614718614718613</v>
      </c>
      <c r="D207" s="189">
        <v>0.36147186147186128</v>
      </c>
      <c r="E207" s="188">
        <v>2.1052631578947367</v>
      </c>
      <c r="F207" s="189">
        <f t="shared" ref="F207:J209" si="37">IFERROR(E207-C207,"-")</f>
        <v>-0.75620870357712455</v>
      </c>
      <c r="G207" s="188">
        <v>3.1148148148148147</v>
      </c>
      <c r="H207" s="189">
        <f t="shared" si="37"/>
        <v>1.009551656920078</v>
      </c>
      <c r="I207" s="188">
        <v>2.8249158249158248</v>
      </c>
      <c r="J207" s="189">
        <f t="shared" si="37"/>
        <v>-0.28989898989898988</v>
      </c>
      <c r="K207" s="188">
        <v>3.3443223443223444</v>
      </c>
      <c r="L207" s="189">
        <f t="shared" ref="L207:L209" si="38">IFERROR(K207-I207,"-")</f>
        <v>0.51940651940651961</v>
      </c>
      <c r="M207" s="188">
        <v>2.9627659574468086</v>
      </c>
      <c r="N207" s="189">
        <f t="shared" ref="N207:N212" si="39">IFERROR(M207-K207,"-")</f>
        <v>-0.38155638687553584</v>
      </c>
    </row>
    <row r="208" spans="2:15" x14ac:dyDescent="0.25">
      <c r="B208" s="118" t="s">
        <v>75</v>
      </c>
      <c r="C208" s="188">
        <v>2.0930232558139537</v>
      </c>
      <c r="D208" s="189">
        <v>-0.64317306320445145</v>
      </c>
      <c r="E208" s="188">
        <v>1.4772727272727273</v>
      </c>
      <c r="F208" s="189">
        <f t="shared" si="37"/>
        <v>-0.61575052854122636</v>
      </c>
      <c r="G208" s="188">
        <v>2.414814814814815</v>
      </c>
      <c r="H208" s="189">
        <f t="shared" si="37"/>
        <v>0.93754208754208768</v>
      </c>
      <c r="I208" s="188">
        <v>2.4600760456273765</v>
      </c>
      <c r="J208" s="189">
        <f t="shared" si="37"/>
        <v>4.5261230812561504E-2</v>
      </c>
      <c r="K208" s="188">
        <v>2.4355828220858897</v>
      </c>
      <c r="L208" s="189">
        <f t="shared" si="38"/>
        <v>-2.4493223541486753E-2</v>
      </c>
      <c r="M208" s="188">
        <v>2.8980263157894739</v>
      </c>
      <c r="N208" s="189">
        <f t="shared" si="39"/>
        <v>0.46244349370358417</v>
      </c>
    </row>
    <row r="209" spans="2:15" x14ac:dyDescent="0.25">
      <c r="B209" s="118" t="s">
        <v>77</v>
      </c>
      <c r="C209" s="188">
        <v>2.4691358024691357</v>
      </c>
      <c r="D209" s="189">
        <v>-0.16244314489928557</v>
      </c>
      <c r="E209" s="188">
        <v>2.4565217391304346</v>
      </c>
      <c r="F209" s="189">
        <f t="shared" si="37"/>
        <v>-1.2614063338701076E-2</v>
      </c>
      <c r="G209" s="188">
        <v>2.5943396226415096</v>
      </c>
      <c r="H209" s="189">
        <f t="shared" si="37"/>
        <v>0.13781788351107505</v>
      </c>
      <c r="I209" s="188">
        <v>2.6113360323886639</v>
      </c>
      <c r="J209" s="189">
        <f t="shared" si="37"/>
        <v>1.6996409747154217E-2</v>
      </c>
      <c r="K209" s="188">
        <v>3.1333333333333333</v>
      </c>
      <c r="L209" s="189">
        <f t="shared" si="38"/>
        <v>0.52199730094466945</v>
      </c>
      <c r="M209" s="188">
        <v>2.6015936254980079</v>
      </c>
      <c r="N209" s="189">
        <f t="shared" si="39"/>
        <v>-0.53173970783532543</v>
      </c>
    </row>
    <row r="210" spans="2:15" x14ac:dyDescent="0.25">
      <c r="B210" s="118" t="s">
        <v>79</v>
      </c>
      <c r="C210" s="188" t="s">
        <v>229</v>
      </c>
      <c r="D210" s="189" t="s">
        <v>229</v>
      </c>
      <c r="E210" s="188">
        <v>1.8571428571428572</v>
      </c>
      <c r="F210" s="189" t="str">
        <f>IFERROR(E210-C210,"-")</f>
        <v>-</v>
      </c>
      <c r="G210" s="188">
        <v>2.4713375796178343</v>
      </c>
      <c r="H210" s="189">
        <f>IFERROR(G210-E210,"-")</f>
        <v>0.61419472247497708</v>
      </c>
      <c r="I210" s="188">
        <v>3.0125000000000002</v>
      </c>
      <c r="J210" s="189">
        <f>IFERROR(I210-G210,"-")</f>
        <v>0.54116242038216589</v>
      </c>
      <c r="K210" s="188">
        <v>2.8167539267015709</v>
      </c>
      <c r="L210" s="189">
        <f>IFERROR(K210-I210,"-")</f>
        <v>-0.1957460732984293</v>
      </c>
      <c r="M210" s="188">
        <v>2.8721804511278197</v>
      </c>
      <c r="N210" s="189">
        <f t="shared" si="39"/>
        <v>5.5426524426248847E-2</v>
      </c>
    </row>
    <row r="211" spans="2:15" x14ac:dyDescent="0.25">
      <c r="B211" s="118" t="s">
        <v>81</v>
      </c>
      <c r="C211" s="188" t="s">
        <v>229</v>
      </c>
      <c r="D211" s="189" t="s">
        <v>229</v>
      </c>
      <c r="E211" s="188">
        <v>1.6206896551724137</v>
      </c>
      <c r="F211" s="189" t="str">
        <f t="shared" ref="F211:J219" si="40">IFERROR(E211-C211,"-")</f>
        <v>-</v>
      </c>
      <c r="G211" s="188">
        <v>3.0419580419580421</v>
      </c>
      <c r="H211" s="189">
        <f t="shared" si="40"/>
        <v>1.4212683867856284</v>
      </c>
      <c r="I211" s="188">
        <v>2.6937500000000001</v>
      </c>
      <c r="J211" s="189">
        <f t="shared" si="40"/>
        <v>-0.348208041958042</v>
      </c>
      <c r="K211" s="188">
        <v>3.6575342465753424</v>
      </c>
      <c r="L211" s="189">
        <f t="shared" ref="L211:L219" si="41">IFERROR(K211-I211,"-")</f>
        <v>0.96378424657534234</v>
      </c>
      <c r="M211" s="188">
        <v>3.2900763358778624</v>
      </c>
      <c r="N211" s="189">
        <f t="shared" si="39"/>
        <v>-0.36745791069748002</v>
      </c>
    </row>
    <row r="212" spans="2:15" x14ac:dyDescent="0.25">
      <c r="B212" s="118" t="s">
        <v>83</v>
      </c>
      <c r="C212" s="188" t="s">
        <v>229</v>
      </c>
      <c r="D212" s="189" t="s">
        <v>229</v>
      </c>
      <c r="E212" s="188">
        <v>2.5921052631578947</v>
      </c>
      <c r="F212" s="189" t="str">
        <f t="shared" si="40"/>
        <v>-</v>
      </c>
      <c r="G212" s="188">
        <v>2.984</v>
      </c>
      <c r="H212" s="189">
        <f t="shared" si="40"/>
        <v>0.3918947368421053</v>
      </c>
      <c r="I212" s="188">
        <v>2.6162790697674421</v>
      </c>
      <c r="J212" s="189">
        <f t="shared" si="40"/>
        <v>-0.36772093023255792</v>
      </c>
      <c r="K212" s="188">
        <v>2.592233009708738</v>
      </c>
      <c r="L212" s="189">
        <f t="shared" si="41"/>
        <v>-2.4046060058704022E-2</v>
      </c>
      <c r="M212" s="188">
        <v>3.4951456310679609</v>
      </c>
      <c r="N212" s="189">
        <f t="shared" si="39"/>
        <v>0.9029126213592229</v>
      </c>
    </row>
    <row r="213" spans="2:15" x14ac:dyDescent="0.25">
      <c r="B213" s="118" t="s">
        <v>85</v>
      </c>
      <c r="C213" s="188" t="s">
        <v>229</v>
      </c>
      <c r="D213" s="189" t="s">
        <v>229</v>
      </c>
      <c r="E213" s="188">
        <v>3.2180451127819549</v>
      </c>
      <c r="F213" s="189" t="str">
        <f t="shared" si="40"/>
        <v>-</v>
      </c>
      <c r="G213" s="188">
        <v>2.489795918367347</v>
      </c>
      <c r="H213" s="189">
        <f t="shared" si="40"/>
        <v>-0.72824919441460789</v>
      </c>
      <c r="I213" s="188">
        <v>1.8778877887788779</v>
      </c>
      <c r="J213" s="189">
        <f t="shared" si="40"/>
        <v>-0.61190812958846919</v>
      </c>
      <c r="K213" s="188">
        <v>2.952054794520548</v>
      </c>
      <c r="L213" s="189">
        <f t="shared" si="41"/>
        <v>1.0741670057416701</v>
      </c>
      <c r="M213" s="188"/>
      <c r="N213" s="189"/>
    </row>
    <row r="214" spans="2:15" x14ac:dyDescent="0.25">
      <c r="B214" s="118" t="s">
        <v>87</v>
      </c>
      <c r="C214" s="188">
        <v>1.6041666666666667</v>
      </c>
      <c r="D214" s="189">
        <v>-2.5184748427672954</v>
      </c>
      <c r="E214" s="188">
        <v>4.07</v>
      </c>
      <c r="F214" s="189">
        <f t="shared" si="40"/>
        <v>2.4658333333333333</v>
      </c>
      <c r="G214" s="188">
        <v>1.7235772357723578</v>
      </c>
      <c r="H214" s="189">
        <f t="shared" si="40"/>
        <v>-2.3464227642276425</v>
      </c>
      <c r="I214" s="188">
        <v>3.0769230769230771</v>
      </c>
      <c r="J214" s="189">
        <f t="shared" si="40"/>
        <v>1.3533458411507193</v>
      </c>
      <c r="K214" s="188">
        <v>5.062176165803109</v>
      </c>
      <c r="L214" s="189">
        <f t="shared" si="41"/>
        <v>1.9852530888800319</v>
      </c>
      <c r="M214" s="188"/>
      <c r="N214" s="189"/>
    </row>
    <row r="215" spans="2:15" x14ac:dyDescent="0.25">
      <c r="B215" s="118" t="s">
        <v>89</v>
      </c>
      <c r="C215" s="188">
        <v>1.5263157894736843</v>
      </c>
      <c r="D215" s="189">
        <v>-1.5330062444246206</v>
      </c>
      <c r="E215" s="188">
        <v>2.6967213114754101</v>
      </c>
      <c r="F215" s="189">
        <f t="shared" si="40"/>
        <v>1.1704055220017258</v>
      </c>
      <c r="G215" s="188">
        <v>1.7846889952153111</v>
      </c>
      <c r="H215" s="189">
        <f t="shared" si="40"/>
        <v>-0.91203231626009895</v>
      </c>
      <c r="I215" s="188">
        <v>3.9452054794520546</v>
      </c>
      <c r="J215" s="189">
        <f t="shared" si="40"/>
        <v>2.1605164842367435</v>
      </c>
      <c r="K215" s="188">
        <v>3.4752475247524752</v>
      </c>
      <c r="L215" s="189">
        <f t="shared" si="41"/>
        <v>-0.46995795469957935</v>
      </c>
      <c r="M215" s="188"/>
      <c r="N215" s="189"/>
    </row>
    <row r="216" spans="2:15" x14ac:dyDescent="0.25">
      <c r="B216" s="118" t="s">
        <v>91</v>
      </c>
      <c r="C216" s="188">
        <v>1.5666666666666667</v>
      </c>
      <c r="D216" s="189">
        <v>-1.293146417445483</v>
      </c>
      <c r="E216" s="188">
        <v>2.4550898203592815</v>
      </c>
      <c r="F216" s="189">
        <f t="shared" si="40"/>
        <v>0.88842315369261482</v>
      </c>
      <c r="G216" s="188">
        <v>2.9919354838709675</v>
      </c>
      <c r="H216" s="189">
        <f t="shared" si="40"/>
        <v>0.53684566351168606</v>
      </c>
      <c r="I216" s="188">
        <v>2.8269230769230771</v>
      </c>
      <c r="J216" s="189">
        <f t="shared" si="40"/>
        <v>-0.16501240694789043</v>
      </c>
      <c r="K216" s="188">
        <v>4.169354838709677</v>
      </c>
      <c r="L216" s="189">
        <f t="shared" si="41"/>
        <v>1.3424317617866</v>
      </c>
      <c r="M216" s="188"/>
      <c r="N216" s="189"/>
    </row>
    <row r="217" spans="2:15" x14ac:dyDescent="0.25">
      <c r="B217" s="118" t="s">
        <v>93</v>
      </c>
      <c r="C217" s="188">
        <v>2.6875</v>
      </c>
      <c r="D217" s="189">
        <v>0.27302631578947389</v>
      </c>
      <c r="E217" s="188">
        <v>2.8636363636363638</v>
      </c>
      <c r="F217" s="189">
        <f t="shared" si="40"/>
        <v>0.17613636363636376</v>
      </c>
      <c r="G217" s="188">
        <v>2.5331125827814569</v>
      </c>
      <c r="H217" s="189">
        <f t="shared" si="40"/>
        <v>-0.33052378085490686</v>
      </c>
      <c r="I217" s="188">
        <v>2.8129251700680271</v>
      </c>
      <c r="J217" s="189">
        <f t="shared" si="40"/>
        <v>0.27981258728657021</v>
      </c>
      <c r="K217" s="188">
        <v>2.3783783783783785</v>
      </c>
      <c r="L217" s="189">
        <f t="shared" si="41"/>
        <v>-0.4345467916896486</v>
      </c>
      <c r="M217" s="188"/>
      <c r="N217" s="189"/>
    </row>
    <row r="218" spans="2:15" x14ac:dyDescent="0.25">
      <c r="B218" s="118" t="s">
        <v>95</v>
      </c>
      <c r="C218" s="188">
        <v>2.3488372093023258</v>
      </c>
      <c r="D218" s="189">
        <v>0.36945576600335661</v>
      </c>
      <c r="E218" s="188">
        <v>2.9883720930232558</v>
      </c>
      <c r="F218" s="189">
        <f t="shared" si="40"/>
        <v>0.63953488372093004</v>
      </c>
      <c r="G218" s="188">
        <v>2.8401360544217686</v>
      </c>
      <c r="H218" s="189">
        <f t="shared" si="40"/>
        <v>-0.14823603860148715</v>
      </c>
      <c r="I218" s="188">
        <v>3.3711340206185567</v>
      </c>
      <c r="J218" s="189">
        <f t="shared" si="40"/>
        <v>0.53099796619678807</v>
      </c>
      <c r="K218" s="188">
        <v>3.0121457489878543</v>
      </c>
      <c r="L218" s="189">
        <f t="shared" si="41"/>
        <v>-0.35898827163070246</v>
      </c>
      <c r="M218" s="188"/>
      <c r="N218" s="189"/>
    </row>
    <row r="219" spans="2:15" ht="15.75" x14ac:dyDescent="0.25">
      <c r="B219" s="121" t="s">
        <v>32</v>
      </c>
      <c r="C219" s="190">
        <v>2.4005102040816326</v>
      </c>
      <c r="D219" s="191">
        <v>-0.24150480127742435</v>
      </c>
      <c r="E219" s="190">
        <v>2.7591897974493622</v>
      </c>
      <c r="F219" s="191">
        <f t="shared" si="40"/>
        <v>0.35867959336772959</v>
      </c>
      <c r="G219" s="190">
        <v>2.511853867081228</v>
      </c>
      <c r="H219" s="191">
        <f t="shared" si="40"/>
        <v>-0.24733593036813417</v>
      </c>
      <c r="I219" s="190">
        <v>2.7997724687144481</v>
      </c>
      <c r="J219" s="191">
        <f t="shared" si="40"/>
        <v>0.28791860163322003</v>
      </c>
      <c r="K219" s="190">
        <v>3.1528013582342953</v>
      </c>
      <c r="L219" s="191">
        <f t="shared" si="41"/>
        <v>0.35302888951984723</v>
      </c>
      <c r="M219" s="190">
        <v>2.943759630200308</v>
      </c>
      <c r="N219" s="191">
        <v>-2.181282776606519E-2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4"/>
      <c r="M222" s="126"/>
    </row>
    <row r="224" spans="2:15" ht="48.75" customHeight="1" thickBot="1" x14ac:dyDescent="0.3">
      <c r="B224" s="278" t="s">
        <v>293</v>
      </c>
      <c r="C224" s="278"/>
      <c r="D224" s="278"/>
      <c r="E224" s="278"/>
      <c r="F224" s="278"/>
      <c r="G224" s="278"/>
      <c r="H224" s="278"/>
      <c r="I224" s="278"/>
      <c r="J224" s="278"/>
      <c r="K224" s="278"/>
      <c r="L224" s="278"/>
      <c r="M224" s="278"/>
      <c r="N224" s="278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5" t="str">
        <f>C226</f>
        <v>Bélgica</v>
      </c>
      <c r="C226" s="303" t="s">
        <v>121</v>
      </c>
      <c r="D226" s="304"/>
      <c r="E226" s="304"/>
      <c r="F226" s="304"/>
      <c r="G226" s="304"/>
      <c r="H226" s="304"/>
      <c r="I226" s="304"/>
      <c r="J226" s="304"/>
      <c r="K226" s="304"/>
      <c r="L226" s="304"/>
      <c r="M226" s="304"/>
      <c r="N226" s="304"/>
    </row>
    <row r="227" spans="2:15" ht="22.5" thickTop="1" thickBot="1" x14ac:dyDescent="0.3">
      <c r="B227" s="111"/>
      <c r="C227" s="305">
        <v>2020</v>
      </c>
      <c r="D227" s="306"/>
      <c r="E227" s="307">
        <v>2021</v>
      </c>
      <c r="F227" s="306"/>
      <c r="G227" s="307">
        <v>2022</v>
      </c>
      <c r="H227" s="306"/>
      <c r="I227" s="307">
        <v>2023</v>
      </c>
      <c r="J227" s="306"/>
      <c r="K227" s="307">
        <v>2024</v>
      </c>
      <c r="L227" s="306"/>
      <c r="M227" s="307">
        <v>2025</v>
      </c>
      <c r="N227" s="308"/>
    </row>
    <row r="228" spans="2:15" ht="16.5" thickTop="1" thickBot="1" x14ac:dyDescent="0.3">
      <c r="B228" s="87"/>
      <c r="C228" s="115" t="s">
        <v>71</v>
      </c>
      <c r="D228" s="116" t="str">
        <f>CONCATENATE("dif ",RIGHT(C227,2),"/",RIGHT(C227-1,2))</f>
        <v>dif 20/19</v>
      </c>
      <c r="E228" s="117" t="s">
        <v>71</v>
      </c>
      <c r="F228" s="116" t="str">
        <f>CONCATENATE("dif ",RIGHT(E227,2),"/",RIGHT(C227,2))</f>
        <v>dif 21/20</v>
      </c>
      <c r="G228" s="117" t="s">
        <v>71</v>
      </c>
      <c r="H228" s="116" t="str">
        <f>CONCATENATE("dif ",RIGHT(G227,2),"/",RIGHT(E227,2))</f>
        <v>dif 22/21</v>
      </c>
      <c r="I228" s="117" t="s">
        <v>71</v>
      </c>
      <c r="J228" s="116" t="str">
        <f>CONCATENATE("dif ",RIGHT(I227,2),"/",RIGHT(G227,2))</f>
        <v>dif 23/22</v>
      </c>
      <c r="K228" s="117" t="s">
        <v>71</v>
      </c>
      <c r="L228" s="116" t="str">
        <f>CONCATENATE("dif ",RIGHT(K227,2),"/",RIGHT(I227,2))</f>
        <v>dif 24/23</v>
      </c>
      <c r="M228" s="117" t="s">
        <v>71</v>
      </c>
      <c r="N228" s="116" t="str">
        <f>CONCATENATE("dif ",RIGHT(M227,2),"/",RIGHT(K227,2))</f>
        <v>dif 25/24</v>
      </c>
    </row>
    <row r="229" spans="2:15" x14ac:dyDescent="0.25">
      <c r="B229" s="118" t="s">
        <v>73</v>
      </c>
      <c r="C229" s="188">
        <v>2.3828828828828827</v>
      </c>
      <c r="D229" s="189">
        <v>0.15529667598633123</v>
      </c>
      <c r="E229" s="188">
        <v>1.6046511627906976</v>
      </c>
      <c r="F229" s="189">
        <f t="shared" ref="F229:J231" si="42">IFERROR(E229-C229,"-")</f>
        <v>-0.77823172009218511</v>
      </c>
      <c r="G229" s="188">
        <v>2.4294117647058822</v>
      </c>
      <c r="H229" s="189">
        <f t="shared" si="42"/>
        <v>0.82476060191518452</v>
      </c>
      <c r="I229" s="188">
        <v>2.5857740585774058</v>
      </c>
      <c r="J229" s="189">
        <f t="shared" si="42"/>
        <v>0.15636229387152367</v>
      </c>
      <c r="K229" s="188">
        <v>2.8736462093862816</v>
      </c>
      <c r="L229" s="189">
        <f t="shared" ref="L229:L231" si="43">IFERROR(K229-I229,"-")</f>
        <v>0.28787215080887574</v>
      </c>
      <c r="M229" s="188">
        <v>2.8328173374613002</v>
      </c>
      <c r="N229" s="189">
        <f t="shared" ref="N229:N234" si="44">IFERROR(M229-K229,"-")</f>
        <v>-4.0828871924981414E-2</v>
      </c>
    </row>
    <row r="230" spans="2:15" x14ac:dyDescent="0.25">
      <c r="B230" s="118" t="s">
        <v>75</v>
      </c>
      <c r="C230" s="188">
        <v>2.25</v>
      </c>
      <c r="D230" s="189">
        <v>-0.32971014492753614</v>
      </c>
      <c r="E230" s="188">
        <v>2.2702702702702702</v>
      </c>
      <c r="F230" s="189">
        <f t="shared" si="42"/>
        <v>2.0270270270270174E-2</v>
      </c>
      <c r="G230" s="188">
        <v>2.8324022346368714</v>
      </c>
      <c r="H230" s="189">
        <f t="shared" si="42"/>
        <v>0.56213196436660118</v>
      </c>
      <c r="I230" s="188">
        <v>2.5750000000000002</v>
      </c>
      <c r="J230" s="189">
        <f t="shared" si="42"/>
        <v>-0.25740223463687117</v>
      </c>
      <c r="K230" s="188">
        <v>2.9292929292929295</v>
      </c>
      <c r="L230" s="189">
        <f t="shared" si="43"/>
        <v>0.35429292929292933</v>
      </c>
      <c r="M230" s="188">
        <v>2.6576576576576576</v>
      </c>
      <c r="N230" s="189">
        <f t="shared" si="44"/>
        <v>-0.2716352716352719</v>
      </c>
    </row>
    <row r="231" spans="2:15" x14ac:dyDescent="0.25">
      <c r="B231" s="118" t="s">
        <v>77</v>
      </c>
      <c r="C231" s="188">
        <v>3.0352941176470587</v>
      </c>
      <c r="D231" s="189">
        <v>-1.5430520034100503E-2</v>
      </c>
      <c r="E231" s="188">
        <v>1.65625</v>
      </c>
      <c r="F231" s="189">
        <f t="shared" si="42"/>
        <v>-1.3790441176470587</v>
      </c>
      <c r="G231" s="188">
        <v>2.5076142131979697</v>
      </c>
      <c r="H231" s="189">
        <f t="shared" si="42"/>
        <v>0.85136421319796973</v>
      </c>
      <c r="I231" s="188">
        <v>4.1359223300970873</v>
      </c>
      <c r="J231" s="189">
        <f t="shared" si="42"/>
        <v>1.6283081168991176</v>
      </c>
      <c r="K231" s="188">
        <v>2.9226519337016574</v>
      </c>
      <c r="L231" s="189">
        <f t="shared" si="43"/>
        <v>-1.2132703963954299</v>
      </c>
      <c r="M231" s="188">
        <v>2.2459016393442623</v>
      </c>
      <c r="N231" s="189">
        <f t="shared" si="44"/>
        <v>-0.67675029435739509</v>
      </c>
    </row>
    <row r="232" spans="2:15" x14ac:dyDescent="0.25">
      <c r="B232" s="118" t="s">
        <v>79</v>
      </c>
      <c r="C232" s="188" t="s">
        <v>229</v>
      </c>
      <c r="D232" s="189" t="s">
        <v>229</v>
      </c>
      <c r="E232" s="188">
        <v>1.8064516129032258</v>
      </c>
      <c r="F232" s="189" t="str">
        <f>IFERROR(E232-C232,"-")</f>
        <v>-</v>
      </c>
      <c r="G232" s="188">
        <v>2.7118644067796609</v>
      </c>
      <c r="H232" s="189">
        <f>IFERROR(G232-E232,"-")</f>
        <v>0.90541279387643514</v>
      </c>
      <c r="I232" s="188">
        <v>3.5714285714285716</v>
      </c>
      <c r="J232" s="189">
        <f>IFERROR(I232-G232,"-")</f>
        <v>0.85956416464891072</v>
      </c>
      <c r="K232" s="188">
        <v>4.037383177570093</v>
      </c>
      <c r="L232" s="189">
        <f>IFERROR(K232-I232,"-")</f>
        <v>0.4659546061415214</v>
      </c>
      <c r="M232" s="188">
        <v>2.1925925925925926</v>
      </c>
      <c r="N232" s="189">
        <f t="shared" si="44"/>
        <v>-1.8447905849775004</v>
      </c>
    </row>
    <row r="233" spans="2:15" x14ac:dyDescent="0.25">
      <c r="B233" s="118" t="s">
        <v>81</v>
      </c>
      <c r="C233" s="188" t="s">
        <v>229</v>
      </c>
      <c r="D233" s="189" t="s">
        <v>229</v>
      </c>
      <c r="E233" s="188">
        <v>2.2323232323232323</v>
      </c>
      <c r="F233" s="189" t="str">
        <f t="shared" ref="F233:J241" si="45">IFERROR(E233-C233,"-")</f>
        <v>-</v>
      </c>
      <c r="G233" s="188">
        <v>2.7777777777777777</v>
      </c>
      <c r="H233" s="189">
        <f t="shared" si="45"/>
        <v>0.54545454545454541</v>
      </c>
      <c r="I233" s="188">
        <v>2.8666666666666667</v>
      </c>
      <c r="J233" s="189">
        <f t="shared" si="45"/>
        <v>8.8888888888889017E-2</v>
      </c>
      <c r="K233" s="188">
        <v>2.7593984962406015</v>
      </c>
      <c r="L233" s="189">
        <f t="shared" ref="L233:L241" si="46">IFERROR(K233-I233,"-")</f>
        <v>-0.10726817042606518</v>
      </c>
      <c r="M233" s="188">
        <v>2.5947712418300655</v>
      </c>
      <c r="N233" s="189">
        <f t="shared" si="44"/>
        <v>-0.16462725441053605</v>
      </c>
    </row>
    <row r="234" spans="2:15" x14ac:dyDescent="0.25">
      <c r="B234" s="118" t="s">
        <v>83</v>
      </c>
      <c r="C234" s="188" t="s">
        <v>229</v>
      </c>
      <c r="D234" s="189" t="s">
        <v>229</v>
      </c>
      <c r="E234" s="188">
        <v>2.5396825396825395</v>
      </c>
      <c r="F234" s="189" t="str">
        <f t="shared" si="45"/>
        <v>-</v>
      </c>
      <c r="G234" s="188">
        <v>2.7916666666666665</v>
      </c>
      <c r="H234" s="189">
        <f t="shared" si="45"/>
        <v>0.25198412698412698</v>
      </c>
      <c r="I234" s="188">
        <v>2.5697674418604652</v>
      </c>
      <c r="J234" s="189">
        <f t="shared" si="45"/>
        <v>-0.22189922480620128</v>
      </c>
      <c r="K234" s="188">
        <v>2.324786324786325</v>
      </c>
      <c r="L234" s="189">
        <f t="shared" si="46"/>
        <v>-0.24498111707414028</v>
      </c>
      <c r="M234" s="188">
        <v>2.5315315315315314</v>
      </c>
      <c r="N234" s="189">
        <f t="shared" si="44"/>
        <v>0.20674520674520647</v>
      </c>
    </row>
    <row r="235" spans="2:15" x14ac:dyDescent="0.25">
      <c r="B235" s="118" t="s">
        <v>85</v>
      </c>
      <c r="C235" s="188" t="s">
        <v>229</v>
      </c>
      <c r="D235" s="189" t="s">
        <v>229</v>
      </c>
      <c r="E235" s="188">
        <v>2.5662650602409638</v>
      </c>
      <c r="F235" s="189" t="str">
        <f t="shared" si="45"/>
        <v>-</v>
      </c>
      <c r="G235" s="188">
        <v>3.7247706422018347</v>
      </c>
      <c r="H235" s="189">
        <f t="shared" si="45"/>
        <v>1.1585055819608709</v>
      </c>
      <c r="I235" s="188">
        <v>2.5481481481481483</v>
      </c>
      <c r="J235" s="189">
        <f t="shared" si="45"/>
        <v>-1.1766224940536865</v>
      </c>
      <c r="K235" s="188">
        <v>2.6422764227642275</v>
      </c>
      <c r="L235" s="189">
        <f t="shared" si="46"/>
        <v>9.4128274616079199E-2</v>
      </c>
      <c r="M235" s="188"/>
      <c r="N235" s="189"/>
    </row>
    <row r="236" spans="2:15" x14ac:dyDescent="0.25">
      <c r="B236" s="118" t="s">
        <v>87</v>
      </c>
      <c r="C236" s="188">
        <v>2.5714285714285716</v>
      </c>
      <c r="D236" s="189">
        <v>-0.25357142857142856</v>
      </c>
      <c r="E236" s="188">
        <v>2.8058252427184467</v>
      </c>
      <c r="F236" s="189">
        <f t="shared" si="45"/>
        <v>0.23439667128987507</v>
      </c>
      <c r="G236" s="188">
        <v>2.5</v>
      </c>
      <c r="H236" s="189">
        <f t="shared" si="45"/>
        <v>-0.30582524271844669</v>
      </c>
      <c r="I236" s="188">
        <v>3.4957983193277311</v>
      </c>
      <c r="J236" s="189">
        <f t="shared" si="45"/>
        <v>0.99579831932773111</v>
      </c>
      <c r="K236" s="188">
        <v>4.1339285714285712</v>
      </c>
      <c r="L236" s="189">
        <f t="shared" si="46"/>
        <v>0.63813025210084007</v>
      </c>
      <c r="M236" s="188"/>
      <c r="N236" s="189"/>
    </row>
    <row r="237" spans="2:15" x14ac:dyDescent="0.25">
      <c r="B237" s="118" t="s">
        <v>89</v>
      </c>
      <c r="C237" s="188">
        <v>1.8918918918918919</v>
      </c>
      <c r="D237" s="189">
        <v>-1.1735286688557716</v>
      </c>
      <c r="E237" s="188">
        <v>2.9885057471264367</v>
      </c>
      <c r="F237" s="189">
        <f t="shared" si="45"/>
        <v>1.0966138552345448</v>
      </c>
      <c r="G237" s="188">
        <v>2.5051546391752577</v>
      </c>
      <c r="H237" s="189">
        <f t="shared" si="45"/>
        <v>-0.48335110795117897</v>
      </c>
      <c r="I237" s="188">
        <v>2.8235294117647061</v>
      </c>
      <c r="J237" s="189">
        <f t="shared" si="45"/>
        <v>0.31837477258944835</v>
      </c>
      <c r="K237" s="188">
        <v>3.06993006993007</v>
      </c>
      <c r="L237" s="189">
        <f t="shared" si="46"/>
        <v>0.24640065816536394</v>
      </c>
      <c r="M237" s="188"/>
      <c r="N237" s="189"/>
    </row>
    <row r="238" spans="2:15" x14ac:dyDescent="0.25">
      <c r="B238" s="118" t="s">
        <v>91</v>
      </c>
      <c r="C238" s="188">
        <v>2.7872340425531914</v>
      </c>
      <c r="D238" s="189">
        <v>-3.454813566463022E-2</v>
      </c>
      <c r="E238" s="188">
        <v>2.3220338983050848</v>
      </c>
      <c r="F238" s="189">
        <f t="shared" si="45"/>
        <v>-0.46520014424810663</v>
      </c>
      <c r="G238" s="188">
        <v>2.6454545454545455</v>
      </c>
      <c r="H238" s="189">
        <f t="shared" si="45"/>
        <v>0.32342064714946073</v>
      </c>
      <c r="I238" s="188">
        <v>2.8175182481751824</v>
      </c>
      <c r="J238" s="189">
        <f t="shared" si="45"/>
        <v>0.17206370272063687</v>
      </c>
      <c r="K238" s="188">
        <v>2.3806451612903228</v>
      </c>
      <c r="L238" s="189">
        <f t="shared" si="46"/>
        <v>-0.4368730868848596</v>
      </c>
      <c r="M238" s="188"/>
      <c r="N238" s="189"/>
    </row>
    <row r="239" spans="2:15" x14ac:dyDescent="0.25">
      <c r="B239" s="118" t="s">
        <v>93</v>
      </c>
      <c r="C239" s="188">
        <v>1.7192982456140351</v>
      </c>
      <c r="D239" s="189">
        <v>-1.1386252516537243</v>
      </c>
      <c r="E239" s="188">
        <v>2.6972704714640199</v>
      </c>
      <c r="F239" s="189">
        <f t="shared" si="45"/>
        <v>0.97797222584998478</v>
      </c>
      <c r="G239" s="188">
        <v>2.5934065934065935</v>
      </c>
      <c r="H239" s="189">
        <f t="shared" si="45"/>
        <v>-0.10386387805742636</v>
      </c>
      <c r="I239" s="188">
        <v>3.5201465201465201</v>
      </c>
      <c r="J239" s="189">
        <f t="shared" si="45"/>
        <v>0.92673992673992656</v>
      </c>
      <c r="K239" s="188">
        <v>2.2638297872340427</v>
      </c>
      <c r="L239" s="189">
        <f t="shared" si="46"/>
        <v>-1.2563167329124774</v>
      </c>
      <c r="M239" s="188"/>
      <c r="N239" s="189"/>
    </row>
    <row r="240" spans="2:15" x14ac:dyDescent="0.25">
      <c r="B240" s="118" t="s">
        <v>95</v>
      </c>
      <c r="C240" s="188">
        <v>2.6081081081081079</v>
      </c>
      <c r="D240" s="189">
        <v>0.38992628992628964</v>
      </c>
      <c r="E240" s="188">
        <v>2.7487437185929648</v>
      </c>
      <c r="F240" s="189">
        <f t="shared" si="45"/>
        <v>0.14063561048485695</v>
      </c>
      <c r="G240" s="188">
        <v>2.3558718861209966</v>
      </c>
      <c r="H240" s="189">
        <f t="shared" si="45"/>
        <v>-0.39287183247196822</v>
      </c>
      <c r="I240" s="188">
        <v>2.9561403508771931</v>
      </c>
      <c r="J240" s="189">
        <f t="shared" si="45"/>
        <v>0.60026846475619644</v>
      </c>
      <c r="K240" s="188">
        <v>2.6193548387096772</v>
      </c>
      <c r="L240" s="189">
        <f t="shared" si="46"/>
        <v>-0.33678551216751584</v>
      </c>
      <c r="M240" s="188"/>
      <c r="N240" s="189"/>
    </row>
    <row r="241" spans="2:15" ht="15.75" x14ac:dyDescent="0.25">
      <c r="B241" s="121" t="s">
        <v>32</v>
      </c>
      <c r="C241" s="190">
        <v>2.3633004926108376</v>
      </c>
      <c r="D241" s="191">
        <v>-0.28023050469374455</v>
      </c>
      <c r="E241" s="190">
        <v>2.5423728813559321</v>
      </c>
      <c r="F241" s="191">
        <f t="shared" si="45"/>
        <v>0.17907238874509446</v>
      </c>
      <c r="G241" s="190">
        <v>2.642156862745098</v>
      </c>
      <c r="H241" s="191">
        <f t="shared" si="45"/>
        <v>9.9783981389165888E-2</v>
      </c>
      <c r="I241" s="190">
        <v>3.0806618407445709</v>
      </c>
      <c r="J241" s="191">
        <f t="shared" si="45"/>
        <v>0.43850497799947297</v>
      </c>
      <c r="K241" s="190">
        <v>2.8292682926829267</v>
      </c>
      <c r="L241" s="191">
        <f t="shared" si="46"/>
        <v>-0.25139354806164427</v>
      </c>
      <c r="M241" s="190">
        <v>2.56433007985803</v>
      </c>
      <c r="N241" s="191">
        <v>-0.37347840977671831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4"/>
      <c r="K244" s="124"/>
      <c r="M244" s="107"/>
    </row>
    <row r="246" spans="2:15" ht="48.75" customHeight="1" thickBot="1" x14ac:dyDescent="0.3">
      <c r="B246" s="278" t="s">
        <v>295</v>
      </c>
      <c r="C246" s="278"/>
      <c r="D246" s="278"/>
      <c r="E246" s="278"/>
      <c r="F246" s="278"/>
      <c r="G246" s="278"/>
      <c r="H246" s="278"/>
      <c r="I246" s="278"/>
      <c r="J246" s="278"/>
      <c r="K246" s="278"/>
      <c r="L246" s="278"/>
      <c r="M246" s="278"/>
      <c r="N246" s="278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5" t="str">
        <f>C248</f>
        <v>Dinamarca</v>
      </c>
      <c r="C248" s="303" t="s">
        <v>130</v>
      </c>
      <c r="D248" s="304"/>
      <c r="E248" s="304"/>
      <c r="F248" s="304"/>
      <c r="G248" s="304"/>
      <c r="H248" s="304"/>
      <c r="I248" s="304"/>
      <c r="J248" s="304"/>
      <c r="K248" s="304"/>
      <c r="L248" s="304"/>
      <c r="M248" s="304"/>
      <c r="N248" s="304"/>
    </row>
    <row r="249" spans="2:15" ht="22.5" thickTop="1" thickBot="1" x14ac:dyDescent="0.3">
      <c r="B249" s="111"/>
      <c r="C249" s="305">
        <v>2020</v>
      </c>
      <c r="D249" s="306"/>
      <c r="E249" s="307">
        <v>2021</v>
      </c>
      <c r="F249" s="306"/>
      <c r="G249" s="307">
        <v>2022</v>
      </c>
      <c r="H249" s="306"/>
      <c r="I249" s="307">
        <v>2023</v>
      </c>
      <c r="J249" s="306"/>
      <c r="K249" s="307">
        <v>2024</v>
      </c>
      <c r="L249" s="306"/>
      <c r="M249" s="307">
        <v>2025</v>
      </c>
      <c r="N249" s="308"/>
    </row>
    <row r="250" spans="2:15" ht="16.5" thickTop="1" thickBot="1" x14ac:dyDescent="0.3">
      <c r="B250" s="87"/>
      <c r="C250" s="115" t="s">
        <v>71</v>
      </c>
      <c r="D250" s="116" t="str">
        <f>CONCATENATE("dif ",RIGHT(C249,2),"/",RIGHT(C249-1,2))</f>
        <v>dif 20/19</v>
      </c>
      <c r="E250" s="117" t="s">
        <v>71</v>
      </c>
      <c r="F250" s="116" t="str">
        <f>CONCATENATE("dif ",RIGHT(E249,2),"/",RIGHT(C249,2))</f>
        <v>dif 21/20</v>
      </c>
      <c r="G250" s="117" t="s">
        <v>71</v>
      </c>
      <c r="H250" s="116" t="str">
        <f>CONCATENATE("dif ",RIGHT(G249,2),"/",RIGHT(E249,2))</f>
        <v>dif 22/21</v>
      </c>
      <c r="I250" s="117" t="s">
        <v>71</v>
      </c>
      <c r="J250" s="116" t="str">
        <f>CONCATENATE("dif ",RIGHT(I249,2),"/",RIGHT(G249,2))</f>
        <v>dif 23/22</v>
      </c>
      <c r="K250" s="117" t="s">
        <v>71</v>
      </c>
      <c r="L250" s="116" t="str">
        <f>CONCATENATE("dif ",RIGHT(K249,2),"/",RIGHT(I249,2))</f>
        <v>dif 24/23</v>
      </c>
      <c r="M250" s="117" t="s">
        <v>71</v>
      </c>
      <c r="N250" s="116" t="str">
        <f>CONCATENATE("dif ",RIGHT(M249,2),"/",RIGHT(K249,2))</f>
        <v>dif 25/24</v>
      </c>
    </row>
    <row r="251" spans="2:15" x14ac:dyDescent="0.25">
      <c r="B251" s="118" t="s">
        <v>73</v>
      </c>
      <c r="C251" s="188">
        <v>2.4518272425249168</v>
      </c>
      <c r="D251" s="189">
        <v>-0.39137833238797537</v>
      </c>
      <c r="E251" s="188">
        <v>2</v>
      </c>
      <c r="F251" s="189">
        <f t="shared" ref="F251:J253" si="47">IFERROR(E251-C251,"-")</f>
        <v>-0.45182724252491679</v>
      </c>
      <c r="G251" s="188">
        <v>3.0178571428571428</v>
      </c>
      <c r="H251" s="189">
        <f t="shared" si="47"/>
        <v>1.0178571428571428</v>
      </c>
      <c r="I251" s="188">
        <v>2.7947368421052632</v>
      </c>
      <c r="J251" s="189">
        <f t="shared" si="47"/>
        <v>-0.22312030075187961</v>
      </c>
      <c r="K251" s="188">
        <v>3.1305970149253732</v>
      </c>
      <c r="L251" s="189">
        <f t="shared" ref="L251:L253" si="48">IFERROR(K251-I251,"-")</f>
        <v>0.33586017282011005</v>
      </c>
      <c r="M251" s="188">
        <v>2.7339901477832513</v>
      </c>
      <c r="N251" s="189">
        <f t="shared" ref="N251:N256" si="49">IFERROR(M251-K251,"-")</f>
        <v>-0.3966068671421219</v>
      </c>
    </row>
    <row r="252" spans="2:15" x14ac:dyDescent="0.25">
      <c r="B252" s="118" t="s">
        <v>75</v>
      </c>
      <c r="C252" s="188">
        <v>2.4299065420560746</v>
      </c>
      <c r="D252" s="189">
        <v>-0.18960565306587673</v>
      </c>
      <c r="E252" s="188">
        <v>2</v>
      </c>
      <c r="F252" s="189">
        <f t="shared" si="47"/>
        <v>-0.42990654205607459</v>
      </c>
      <c r="G252" s="188">
        <v>1.9818181818181819</v>
      </c>
      <c r="H252" s="189">
        <f t="shared" si="47"/>
        <v>-1.8181818181818077E-2</v>
      </c>
      <c r="I252" s="188">
        <v>2.5424836601307188</v>
      </c>
      <c r="J252" s="189">
        <f t="shared" si="47"/>
        <v>0.56066547831253688</v>
      </c>
      <c r="K252" s="188">
        <v>2.8382978723404255</v>
      </c>
      <c r="L252" s="189">
        <f t="shared" si="48"/>
        <v>0.29581421220970672</v>
      </c>
      <c r="M252" s="188">
        <v>2.1507537688442211</v>
      </c>
      <c r="N252" s="189">
        <f t="shared" si="49"/>
        <v>-0.68754410349620443</v>
      </c>
    </row>
    <row r="253" spans="2:15" x14ac:dyDescent="0.25">
      <c r="B253" s="118" t="s">
        <v>77</v>
      </c>
      <c r="C253" s="188">
        <v>2.8</v>
      </c>
      <c r="D253" s="189">
        <v>-0.20324675324675345</v>
      </c>
      <c r="E253" s="188">
        <v>2.25</v>
      </c>
      <c r="F253" s="189">
        <f t="shared" si="47"/>
        <v>-0.54999999999999982</v>
      </c>
      <c r="G253" s="188">
        <v>2.4596774193548385</v>
      </c>
      <c r="H253" s="189">
        <f t="shared" si="47"/>
        <v>0.20967741935483852</v>
      </c>
      <c r="I253" s="188">
        <v>2.0378787878787881</v>
      </c>
      <c r="J253" s="189">
        <f t="shared" si="47"/>
        <v>-0.42179863147605046</v>
      </c>
      <c r="K253" s="188">
        <v>2.6414141414141414</v>
      </c>
      <c r="L253" s="189">
        <f t="shared" si="48"/>
        <v>0.60353535353535337</v>
      </c>
      <c r="M253" s="188">
        <v>2.7602739726027399</v>
      </c>
      <c r="N253" s="189">
        <f t="shared" si="49"/>
        <v>0.11885983118859844</v>
      </c>
    </row>
    <row r="254" spans="2:15" x14ac:dyDescent="0.25">
      <c r="B254" s="118" t="s">
        <v>79</v>
      </c>
      <c r="C254" s="188" t="s">
        <v>229</v>
      </c>
      <c r="D254" s="189" t="s">
        <v>229</v>
      </c>
      <c r="E254" s="188">
        <v>2.1111111111111112</v>
      </c>
      <c r="F254" s="189" t="str">
        <f>IFERROR(E254-C254,"-")</f>
        <v>-</v>
      </c>
      <c r="G254" s="188">
        <v>2.4851485148514851</v>
      </c>
      <c r="H254" s="189">
        <f>IFERROR(G254-E254,"-")</f>
        <v>0.37403740374037397</v>
      </c>
      <c r="I254" s="188">
        <v>1.7355371900826446</v>
      </c>
      <c r="J254" s="189">
        <f>IFERROR(I254-G254,"-")</f>
        <v>-0.74961132476884051</v>
      </c>
      <c r="K254" s="188">
        <v>2.0952380952380953</v>
      </c>
      <c r="L254" s="189">
        <f>IFERROR(K254-I254,"-")</f>
        <v>0.35970090515545072</v>
      </c>
      <c r="M254" s="188">
        <v>2.2439024390243905</v>
      </c>
      <c r="N254" s="189">
        <f t="shared" si="49"/>
        <v>0.14866434378629512</v>
      </c>
    </row>
    <row r="255" spans="2:15" x14ac:dyDescent="0.25">
      <c r="B255" s="118" t="s">
        <v>81</v>
      </c>
      <c r="C255" s="188" t="s">
        <v>229</v>
      </c>
      <c r="D255" s="189" t="s">
        <v>229</v>
      </c>
      <c r="E255" s="188">
        <v>1.3571428571428572</v>
      </c>
      <c r="F255" s="189" t="str">
        <f t="shared" ref="F255:J263" si="50">IFERROR(E255-C255,"-")</f>
        <v>-</v>
      </c>
      <c r="G255" s="188">
        <v>2.6666666666666665</v>
      </c>
      <c r="H255" s="189">
        <f t="shared" si="50"/>
        <v>1.3095238095238093</v>
      </c>
      <c r="I255" s="188">
        <v>2.4285714285714284</v>
      </c>
      <c r="J255" s="189">
        <f t="shared" si="50"/>
        <v>-0.23809523809523814</v>
      </c>
      <c r="K255" s="188">
        <v>2.8461538461538463</v>
      </c>
      <c r="L255" s="189">
        <f t="shared" ref="L255:L263" si="51">IFERROR(K255-I255,"-")</f>
        <v>0.41758241758241788</v>
      </c>
      <c r="M255" s="188">
        <v>2</v>
      </c>
      <c r="N255" s="189">
        <f t="shared" si="49"/>
        <v>-0.84615384615384626</v>
      </c>
    </row>
    <row r="256" spans="2:15" x14ac:dyDescent="0.25">
      <c r="B256" s="118" t="s">
        <v>83</v>
      </c>
      <c r="C256" s="188" t="s">
        <v>229</v>
      </c>
      <c r="D256" s="189" t="s">
        <v>229</v>
      </c>
      <c r="E256" s="188">
        <v>5</v>
      </c>
      <c r="F256" s="189" t="str">
        <f t="shared" si="50"/>
        <v>-</v>
      </c>
      <c r="G256" s="188">
        <v>2.5277777777777777</v>
      </c>
      <c r="H256" s="189">
        <f t="shared" si="50"/>
        <v>-2.4722222222222223</v>
      </c>
      <c r="I256" s="188">
        <v>6.2307692307692308</v>
      </c>
      <c r="J256" s="189">
        <f t="shared" si="50"/>
        <v>3.7029914529914532</v>
      </c>
      <c r="K256" s="188">
        <v>5.8461538461538458</v>
      </c>
      <c r="L256" s="189">
        <f t="shared" si="51"/>
        <v>-0.38461538461538503</v>
      </c>
      <c r="M256" s="188">
        <v>2.7777777777777777</v>
      </c>
      <c r="N256" s="189">
        <f t="shared" si="49"/>
        <v>-3.0683760683760681</v>
      </c>
    </row>
    <row r="257" spans="2:15" x14ac:dyDescent="0.25">
      <c r="B257" s="118" t="s">
        <v>85</v>
      </c>
      <c r="C257" s="188" t="s">
        <v>229</v>
      </c>
      <c r="D257" s="189" t="s">
        <v>229</v>
      </c>
      <c r="E257" s="188">
        <v>4.0370370370370372</v>
      </c>
      <c r="F257" s="189" t="str">
        <f t="shared" si="50"/>
        <v>-</v>
      </c>
      <c r="G257" s="188">
        <v>3.9333333333333331</v>
      </c>
      <c r="H257" s="189">
        <f t="shared" si="50"/>
        <v>-0.10370370370370408</v>
      </c>
      <c r="I257" s="188">
        <v>5.76</v>
      </c>
      <c r="J257" s="189">
        <f t="shared" si="50"/>
        <v>1.8266666666666667</v>
      </c>
      <c r="K257" s="188">
        <v>6.9347826086956523</v>
      </c>
      <c r="L257" s="189">
        <f t="shared" si="51"/>
        <v>1.1747826086956525</v>
      </c>
      <c r="M257" s="188"/>
      <c r="N257" s="189"/>
    </row>
    <row r="258" spans="2:15" x14ac:dyDescent="0.25">
      <c r="B258" s="118" t="s">
        <v>87</v>
      </c>
      <c r="C258" s="188">
        <v>1.5714285714285714</v>
      </c>
      <c r="D258" s="189">
        <v>-3.8730158730158735</v>
      </c>
      <c r="E258" s="188">
        <v>3.6</v>
      </c>
      <c r="F258" s="189">
        <f t="shared" si="50"/>
        <v>2.0285714285714285</v>
      </c>
      <c r="G258" s="188">
        <v>3.5714285714285716</v>
      </c>
      <c r="H258" s="189">
        <f t="shared" si="50"/>
        <v>-2.857142857142847E-2</v>
      </c>
      <c r="I258" s="188">
        <v>7.0909090909090908</v>
      </c>
      <c r="J258" s="189">
        <f t="shared" si="50"/>
        <v>3.5194805194805192</v>
      </c>
      <c r="K258" s="188">
        <v>5.666666666666667</v>
      </c>
      <c r="L258" s="189">
        <f t="shared" si="51"/>
        <v>-1.4242424242424239</v>
      </c>
      <c r="M258" s="188"/>
      <c r="N258" s="189"/>
    </row>
    <row r="259" spans="2:15" x14ac:dyDescent="0.25">
      <c r="B259" s="118" t="s">
        <v>89</v>
      </c>
      <c r="C259" s="188" t="s">
        <v>229</v>
      </c>
      <c r="D259" s="189" t="s">
        <v>229</v>
      </c>
      <c r="E259" s="188">
        <v>3.4117647058823528</v>
      </c>
      <c r="F259" s="189" t="str">
        <f t="shared" si="50"/>
        <v>-</v>
      </c>
      <c r="G259" s="188">
        <v>1.5625</v>
      </c>
      <c r="H259" s="189">
        <f t="shared" si="50"/>
        <v>-1.8492647058823528</v>
      </c>
      <c r="I259" s="188">
        <v>4.8571428571428568</v>
      </c>
      <c r="J259" s="189">
        <f t="shared" si="50"/>
        <v>3.2946428571428568</v>
      </c>
      <c r="K259" s="188">
        <v>2.2916666666666665</v>
      </c>
      <c r="L259" s="189">
        <f t="shared" si="51"/>
        <v>-2.5654761904761902</v>
      </c>
      <c r="M259" s="188"/>
      <c r="N259" s="189"/>
    </row>
    <row r="260" spans="2:15" x14ac:dyDescent="0.25">
      <c r="B260" s="118" t="s">
        <v>91</v>
      </c>
      <c r="C260" s="188">
        <v>3</v>
      </c>
      <c r="D260" s="189">
        <v>1.32</v>
      </c>
      <c r="E260" s="188">
        <v>2.2935779816513762</v>
      </c>
      <c r="F260" s="189">
        <f t="shared" si="50"/>
        <v>-0.70642201834862384</v>
      </c>
      <c r="G260" s="188">
        <v>2.1153846153846154</v>
      </c>
      <c r="H260" s="189">
        <f t="shared" si="50"/>
        <v>-0.17819336626676074</v>
      </c>
      <c r="I260" s="188">
        <v>1.9391304347826086</v>
      </c>
      <c r="J260" s="189">
        <f t="shared" si="50"/>
        <v>-0.17625418060200682</v>
      </c>
      <c r="K260" s="188">
        <v>2.2410714285714284</v>
      </c>
      <c r="L260" s="189">
        <f t="shared" si="51"/>
        <v>0.30194099378881978</v>
      </c>
      <c r="M260" s="188"/>
      <c r="N260" s="189"/>
    </row>
    <row r="261" spans="2:15" x14ac:dyDescent="0.25">
      <c r="B261" s="118" t="s">
        <v>93</v>
      </c>
      <c r="C261" s="188">
        <v>1.6363636363636365</v>
      </c>
      <c r="D261" s="189">
        <v>-0.11501757910597687</v>
      </c>
      <c r="E261" s="188">
        <v>2.5089820359281436</v>
      </c>
      <c r="F261" s="189">
        <f t="shared" si="50"/>
        <v>0.87261839956450715</v>
      </c>
      <c r="G261" s="188">
        <v>2.9285714285714284</v>
      </c>
      <c r="H261" s="189">
        <f t="shared" si="50"/>
        <v>0.41958939264328476</v>
      </c>
      <c r="I261" s="188">
        <v>2.5141242937853105</v>
      </c>
      <c r="J261" s="189">
        <f t="shared" si="50"/>
        <v>-0.41444713478611783</v>
      </c>
      <c r="K261" s="188">
        <v>2.1355932203389831</v>
      </c>
      <c r="L261" s="189">
        <f t="shared" si="51"/>
        <v>-0.37853107344632742</v>
      </c>
      <c r="M261" s="188"/>
      <c r="N261" s="189"/>
    </row>
    <row r="262" spans="2:15" x14ac:dyDescent="0.25">
      <c r="B262" s="118" t="s">
        <v>95</v>
      </c>
      <c r="C262" s="188">
        <v>1.625</v>
      </c>
      <c r="D262" s="189">
        <v>-0.54975728155339798</v>
      </c>
      <c r="E262" s="188">
        <v>2.5635359116022101</v>
      </c>
      <c r="F262" s="189">
        <f t="shared" si="50"/>
        <v>0.93853591160221006</v>
      </c>
      <c r="G262" s="188">
        <v>2.4390243902439024</v>
      </c>
      <c r="H262" s="189">
        <f t="shared" si="50"/>
        <v>-0.12451152135830768</v>
      </c>
      <c r="I262" s="188">
        <v>2.3510638297872339</v>
      </c>
      <c r="J262" s="189">
        <f t="shared" si="50"/>
        <v>-8.7960560456668446E-2</v>
      </c>
      <c r="K262" s="188">
        <v>2.3860759493670884</v>
      </c>
      <c r="L262" s="189">
        <f t="shared" si="51"/>
        <v>3.5012119579854506E-2</v>
      </c>
      <c r="M262" s="188"/>
      <c r="N262" s="189"/>
    </row>
    <row r="263" spans="2:15" ht="15.75" x14ac:dyDescent="0.25">
      <c r="B263" s="121" t="s">
        <v>32</v>
      </c>
      <c r="C263" s="190">
        <v>2.5088495575221237</v>
      </c>
      <c r="D263" s="191">
        <v>-0.14241353551546121</v>
      </c>
      <c r="E263" s="190">
        <v>2.5981981981981983</v>
      </c>
      <c r="F263" s="191">
        <f t="shared" si="50"/>
        <v>8.934864067607462E-2</v>
      </c>
      <c r="G263" s="190">
        <v>2.5553488372093023</v>
      </c>
      <c r="H263" s="191">
        <f t="shared" si="50"/>
        <v>-4.2849360988896024E-2</v>
      </c>
      <c r="I263" s="190">
        <v>2.6137211036539894</v>
      </c>
      <c r="J263" s="191">
        <f t="shared" si="50"/>
        <v>5.8372266444687071E-2</v>
      </c>
      <c r="K263" s="190">
        <v>2.901049475262369</v>
      </c>
      <c r="L263" s="191">
        <f t="shared" si="51"/>
        <v>0.28732837160837965</v>
      </c>
      <c r="M263" s="190">
        <v>2.4947683109118088</v>
      </c>
      <c r="N263" s="191">
        <v>-0.43530161915812116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4"/>
    </row>
    <row r="268" spans="2:15" ht="48.75" customHeight="1" thickBot="1" x14ac:dyDescent="0.3">
      <c r="B268" s="278" t="s">
        <v>296</v>
      </c>
      <c r="C268" s="278"/>
      <c r="D268" s="278"/>
      <c r="E268" s="278"/>
      <c r="F268" s="278"/>
      <c r="G268" s="278"/>
      <c r="H268" s="278"/>
      <c r="I268" s="278"/>
      <c r="J268" s="278"/>
      <c r="K268" s="278"/>
      <c r="L268" s="278"/>
      <c r="M268" s="278"/>
      <c r="N268" s="278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5" t="str">
        <f>C270</f>
        <v>Suecia</v>
      </c>
      <c r="C270" s="303" t="s">
        <v>133</v>
      </c>
      <c r="D270" s="304"/>
      <c r="E270" s="304"/>
      <c r="F270" s="304"/>
      <c r="G270" s="304"/>
      <c r="H270" s="304"/>
      <c r="I270" s="304"/>
      <c r="J270" s="304"/>
      <c r="K270" s="304"/>
      <c r="L270" s="304"/>
      <c r="M270" s="304"/>
      <c r="N270" s="304"/>
    </row>
    <row r="271" spans="2:15" ht="22.5" thickTop="1" thickBot="1" x14ac:dyDescent="0.3">
      <c r="B271" s="111"/>
      <c r="C271" s="305">
        <v>2020</v>
      </c>
      <c r="D271" s="306"/>
      <c r="E271" s="307">
        <v>2021</v>
      </c>
      <c r="F271" s="306"/>
      <c r="G271" s="307">
        <v>2022</v>
      </c>
      <c r="H271" s="306"/>
      <c r="I271" s="307">
        <v>2023</v>
      </c>
      <c r="J271" s="306"/>
      <c r="K271" s="307">
        <v>2024</v>
      </c>
      <c r="L271" s="306"/>
      <c r="M271" s="307">
        <v>2025</v>
      </c>
      <c r="N271" s="308"/>
    </row>
    <row r="272" spans="2:15" ht="16.5" thickTop="1" thickBot="1" x14ac:dyDescent="0.3">
      <c r="B272" s="87"/>
      <c r="C272" s="115" t="s">
        <v>71</v>
      </c>
      <c r="D272" s="116" t="str">
        <f>CONCATENATE("dif ",RIGHT(C271,2),"/",RIGHT(C271-1,2))</f>
        <v>dif 20/19</v>
      </c>
      <c r="E272" s="117" t="s">
        <v>71</v>
      </c>
      <c r="F272" s="116" t="str">
        <f>CONCATENATE("dif ",RIGHT(E271,2),"/",RIGHT(C271,2))</f>
        <v>dif 21/20</v>
      </c>
      <c r="G272" s="117" t="s">
        <v>71</v>
      </c>
      <c r="H272" s="116" t="str">
        <f>CONCATENATE("dif ",RIGHT(G271,2),"/",RIGHT(E271,2))</f>
        <v>dif 22/21</v>
      </c>
      <c r="I272" s="117" t="s">
        <v>71</v>
      </c>
      <c r="J272" s="116" t="str">
        <f>CONCATENATE("dif ",RIGHT(I271,2),"/",RIGHT(G271,2))</f>
        <v>dif 23/22</v>
      </c>
      <c r="K272" s="117" t="s">
        <v>71</v>
      </c>
      <c r="L272" s="116" t="str">
        <f>CONCATENATE("dif ",RIGHT(K271,2),"/",RIGHT(I271,2))</f>
        <v>dif 24/23</v>
      </c>
      <c r="M272" s="117" t="s">
        <v>71</v>
      </c>
      <c r="N272" s="116" t="str">
        <f>CONCATENATE("dif ",RIGHT(M271,2),"/",RIGHT(K271,2))</f>
        <v>dif 25/24</v>
      </c>
    </row>
    <row r="273" spans="2:14" x14ac:dyDescent="0.25">
      <c r="B273" s="118" t="s">
        <v>73</v>
      </c>
      <c r="C273" s="188">
        <v>2.1088082901554404</v>
      </c>
      <c r="D273" s="189">
        <v>-0.39580000477543509</v>
      </c>
      <c r="E273" s="188">
        <v>1.6</v>
      </c>
      <c r="F273" s="189">
        <f t="shared" ref="F273:J275" si="52">IFERROR(E273-C273,"-")</f>
        <v>-0.50880829015544027</v>
      </c>
      <c r="G273" s="188">
        <v>2.0763636363636362</v>
      </c>
      <c r="H273" s="189">
        <f t="shared" si="52"/>
        <v>0.4763636363636361</v>
      </c>
      <c r="I273" s="188">
        <v>2.2141280353200883</v>
      </c>
      <c r="J273" s="189">
        <f t="shared" si="52"/>
        <v>0.13776439895645209</v>
      </c>
      <c r="K273" s="188">
        <v>2.3753280839895012</v>
      </c>
      <c r="L273" s="189">
        <f t="shared" ref="L273:L275" si="53">IFERROR(K273-I273,"-")</f>
        <v>0.16120004866941295</v>
      </c>
      <c r="M273" s="188">
        <v>2.1986607142857144</v>
      </c>
      <c r="N273" s="189">
        <f t="shared" ref="N273:N278" si="54">IFERROR(M273-K273,"-")</f>
        <v>-0.17666736970378683</v>
      </c>
    </row>
    <row r="274" spans="2:14" x14ac:dyDescent="0.25">
      <c r="B274" s="118" t="s">
        <v>75</v>
      </c>
      <c r="C274" s="188">
        <v>1.8259803921568627</v>
      </c>
      <c r="D274" s="189">
        <v>-0.69808377896613183</v>
      </c>
      <c r="E274" s="188">
        <v>1.7</v>
      </c>
      <c r="F274" s="189">
        <f t="shared" si="52"/>
        <v>-0.12598039215686274</v>
      </c>
      <c r="G274" s="188">
        <v>2.2489795918367346</v>
      </c>
      <c r="H274" s="189">
        <f t="shared" si="52"/>
        <v>0.54897959183673462</v>
      </c>
      <c r="I274" s="188">
        <v>1.9424920127795526</v>
      </c>
      <c r="J274" s="189">
        <f t="shared" si="52"/>
        <v>-0.30648757905718194</v>
      </c>
      <c r="K274" s="188">
        <v>2.3452380952380953</v>
      </c>
      <c r="L274" s="189">
        <f t="shared" si="53"/>
        <v>0.40274608245854271</v>
      </c>
      <c r="M274" s="188">
        <v>1.7648648648648648</v>
      </c>
      <c r="N274" s="189">
        <f t="shared" si="54"/>
        <v>-0.58037323037323052</v>
      </c>
    </row>
    <row r="275" spans="2:14" x14ac:dyDescent="0.25">
      <c r="B275" s="118" t="s">
        <v>77</v>
      </c>
      <c r="C275" s="188">
        <v>1.9261363636363635</v>
      </c>
      <c r="D275" s="189">
        <v>0.10672327108557345</v>
      </c>
      <c r="E275" s="188">
        <v>2</v>
      </c>
      <c r="F275" s="189">
        <f t="shared" si="52"/>
        <v>7.3863636363636465E-2</v>
      </c>
      <c r="G275" s="188">
        <v>1.892156862745098</v>
      </c>
      <c r="H275" s="189">
        <f t="shared" si="52"/>
        <v>-0.10784313725490202</v>
      </c>
      <c r="I275" s="188">
        <v>1.9501557632398754</v>
      </c>
      <c r="J275" s="189">
        <f t="shared" si="52"/>
        <v>5.7998900494777406E-2</v>
      </c>
      <c r="K275" s="188">
        <v>2.1419753086419755</v>
      </c>
      <c r="L275" s="189">
        <f t="shared" si="53"/>
        <v>0.19181954540210011</v>
      </c>
      <c r="M275" s="188">
        <v>1.639751552795031</v>
      </c>
      <c r="N275" s="189">
        <f t="shared" si="54"/>
        <v>-0.50222375584694445</v>
      </c>
    </row>
    <row r="276" spans="2:14" x14ac:dyDescent="0.25">
      <c r="B276" s="118" t="s">
        <v>79</v>
      </c>
      <c r="C276" s="188" t="s">
        <v>229</v>
      </c>
      <c r="D276" s="189" t="s">
        <v>229</v>
      </c>
      <c r="E276" s="188">
        <v>3</v>
      </c>
      <c r="F276" s="189" t="str">
        <f>IFERROR(E276-C276,"-")</f>
        <v>-</v>
      </c>
      <c r="G276" s="188">
        <v>1.5960591133004927</v>
      </c>
      <c r="H276" s="189">
        <f>IFERROR(G276-E276,"-")</f>
        <v>-1.4039408866995073</v>
      </c>
      <c r="I276" s="188">
        <v>1.4731182795698925</v>
      </c>
      <c r="J276" s="189">
        <f>IFERROR(I276-G276,"-")</f>
        <v>-0.12294083373060016</v>
      </c>
      <c r="K276" s="188">
        <v>2.8341463414634145</v>
      </c>
      <c r="L276" s="189">
        <f>IFERROR(K276-I276,"-")</f>
        <v>1.361028061893522</v>
      </c>
      <c r="M276" s="188">
        <v>1.641025641025641</v>
      </c>
      <c r="N276" s="189">
        <f t="shared" si="54"/>
        <v>-1.1931207004377735</v>
      </c>
    </row>
    <row r="277" spans="2:14" x14ac:dyDescent="0.25">
      <c r="B277" s="118" t="s">
        <v>81</v>
      </c>
      <c r="C277" s="188" t="s">
        <v>229</v>
      </c>
      <c r="D277" s="189" t="s">
        <v>229</v>
      </c>
      <c r="E277" s="188">
        <v>2.2400000000000002</v>
      </c>
      <c r="F277" s="189" t="str">
        <f t="shared" ref="F277:J285" si="55">IFERROR(E277-C277,"-")</f>
        <v>-</v>
      </c>
      <c r="G277" s="188">
        <v>3.7692307692307692</v>
      </c>
      <c r="H277" s="189">
        <f t="shared" si="55"/>
        <v>1.5292307692307689</v>
      </c>
      <c r="I277" s="188">
        <v>1.7272727272727273</v>
      </c>
      <c r="J277" s="189">
        <f t="shared" si="55"/>
        <v>-2.0419580419580416</v>
      </c>
      <c r="K277" s="188">
        <v>1.6956521739130435</v>
      </c>
      <c r="L277" s="189">
        <f t="shared" ref="L277:L285" si="56">IFERROR(K277-I277,"-")</f>
        <v>-3.1620553359683834E-2</v>
      </c>
      <c r="M277" s="188">
        <v>2.7111111111111112</v>
      </c>
      <c r="N277" s="189">
        <f t="shared" si="54"/>
        <v>1.0154589371980678</v>
      </c>
    </row>
    <row r="278" spans="2:14" x14ac:dyDescent="0.25">
      <c r="B278" s="118" t="s">
        <v>83</v>
      </c>
      <c r="C278" s="188" t="s">
        <v>229</v>
      </c>
      <c r="D278" s="189" t="s">
        <v>229</v>
      </c>
      <c r="E278" s="188">
        <v>2.2592592592592591</v>
      </c>
      <c r="F278" s="189" t="str">
        <f t="shared" si="55"/>
        <v>-</v>
      </c>
      <c r="G278" s="188">
        <v>6.7254901960784315</v>
      </c>
      <c r="H278" s="189">
        <f t="shared" si="55"/>
        <v>4.4662309368191728</v>
      </c>
      <c r="I278" s="188">
        <v>2.3636363636363638</v>
      </c>
      <c r="J278" s="189">
        <f t="shared" si="55"/>
        <v>-4.3618538324420673</v>
      </c>
      <c r="K278" s="188">
        <v>2.1923076923076925</v>
      </c>
      <c r="L278" s="189">
        <f t="shared" si="56"/>
        <v>-0.17132867132867124</v>
      </c>
      <c r="M278" s="188">
        <v>3.2173913043478262</v>
      </c>
      <c r="N278" s="189">
        <f t="shared" si="54"/>
        <v>1.0250836120401337</v>
      </c>
    </row>
    <row r="279" spans="2:14" x14ac:dyDescent="0.25">
      <c r="B279" s="118" t="s">
        <v>85</v>
      </c>
      <c r="C279" s="188" t="s">
        <v>229</v>
      </c>
      <c r="D279" s="189" t="s">
        <v>229</v>
      </c>
      <c r="E279" s="188">
        <v>3.76</v>
      </c>
      <c r="F279" s="189" t="str">
        <f t="shared" si="55"/>
        <v>-</v>
      </c>
      <c r="G279" s="188">
        <v>2.4615384615384617</v>
      </c>
      <c r="H279" s="189">
        <f t="shared" si="55"/>
        <v>-1.2984615384615381</v>
      </c>
      <c r="I279" s="188">
        <v>3.6153846153846154</v>
      </c>
      <c r="J279" s="189">
        <f t="shared" si="55"/>
        <v>1.1538461538461537</v>
      </c>
      <c r="K279" s="188">
        <v>3.7234042553191489</v>
      </c>
      <c r="L279" s="189">
        <f t="shared" si="56"/>
        <v>0.10801963993453345</v>
      </c>
      <c r="M279" s="188"/>
      <c r="N279" s="189"/>
    </row>
    <row r="280" spans="2:14" x14ac:dyDescent="0.25">
      <c r="B280" s="118" t="s">
        <v>87</v>
      </c>
      <c r="C280" s="188">
        <v>1.6</v>
      </c>
      <c r="D280" s="189">
        <v>-3.164705882352941</v>
      </c>
      <c r="E280" s="188">
        <v>2.2142857142857144</v>
      </c>
      <c r="F280" s="189">
        <f t="shared" si="55"/>
        <v>0.61428571428571432</v>
      </c>
      <c r="G280" s="188">
        <v>1.6666666666666667</v>
      </c>
      <c r="H280" s="189">
        <f t="shared" si="55"/>
        <v>-0.54761904761904767</v>
      </c>
      <c r="I280" s="188">
        <v>3</v>
      </c>
      <c r="J280" s="189">
        <f t="shared" si="55"/>
        <v>1.3333333333333333</v>
      </c>
      <c r="K280" s="188">
        <v>4.4210526315789478</v>
      </c>
      <c r="L280" s="189">
        <f t="shared" si="56"/>
        <v>1.4210526315789478</v>
      </c>
      <c r="M280" s="188"/>
      <c r="N280" s="189"/>
    </row>
    <row r="281" spans="2:14" x14ac:dyDescent="0.25">
      <c r="B281" s="118" t="s">
        <v>89</v>
      </c>
      <c r="C281" s="188">
        <v>2.52</v>
      </c>
      <c r="D281" s="189">
        <v>-0.13789473684210529</v>
      </c>
      <c r="E281" s="188">
        <v>3.4242424242424243</v>
      </c>
      <c r="F281" s="189">
        <f t="shared" si="55"/>
        <v>0.90424242424242429</v>
      </c>
      <c r="G281" s="188">
        <v>2.1470588235294117</v>
      </c>
      <c r="H281" s="189">
        <f t="shared" si="55"/>
        <v>-1.2771836007130126</v>
      </c>
      <c r="I281" s="188">
        <v>2.8378378378378377</v>
      </c>
      <c r="J281" s="189">
        <f t="shared" si="55"/>
        <v>0.69077901430842603</v>
      </c>
      <c r="K281" s="188">
        <v>2</v>
      </c>
      <c r="L281" s="189">
        <f t="shared" si="56"/>
        <v>-0.83783783783783772</v>
      </c>
      <c r="M281" s="188"/>
      <c r="N281" s="189"/>
    </row>
    <row r="282" spans="2:14" x14ac:dyDescent="0.25">
      <c r="B282" s="118" t="s">
        <v>91</v>
      </c>
      <c r="C282" s="188">
        <v>1.65</v>
      </c>
      <c r="D282" s="189">
        <v>-0.20098039215686292</v>
      </c>
      <c r="E282" s="188">
        <v>1.8473282442748091</v>
      </c>
      <c r="F282" s="189">
        <f t="shared" si="55"/>
        <v>0.19732824427480922</v>
      </c>
      <c r="G282" s="188">
        <v>1.7763975155279503</v>
      </c>
      <c r="H282" s="189">
        <f t="shared" si="55"/>
        <v>-7.0930728746858795E-2</v>
      </c>
      <c r="I282" s="188">
        <v>1.8677685950413223</v>
      </c>
      <c r="J282" s="189">
        <f t="shared" si="55"/>
        <v>9.1371079513371978E-2</v>
      </c>
      <c r="K282" s="188">
        <v>1.6622807017543859</v>
      </c>
      <c r="L282" s="189">
        <f t="shared" si="56"/>
        <v>-0.2054878932869364</v>
      </c>
      <c r="M282" s="188"/>
      <c r="N282" s="189"/>
    </row>
    <row r="283" spans="2:14" x14ac:dyDescent="0.25">
      <c r="B283" s="118" t="s">
        <v>93</v>
      </c>
      <c r="C283" s="188">
        <v>1.8148148148148149</v>
      </c>
      <c r="D283" s="189">
        <v>-2.8935185185185119E-2</v>
      </c>
      <c r="E283" s="188">
        <v>1.9113924050632911</v>
      </c>
      <c r="F283" s="189">
        <f t="shared" si="55"/>
        <v>9.6577590248476231E-2</v>
      </c>
      <c r="G283" s="188">
        <v>2.0648854961832059</v>
      </c>
      <c r="H283" s="189">
        <f t="shared" si="55"/>
        <v>0.15349309111991483</v>
      </c>
      <c r="I283" s="188">
        <v>2.1746575342465753</v>
      </c>
      <c r="J283" s="189">
        <f t="shared" si="55"/>
        <v>0.10977203806336933</v>
      </c>
      <c r="K283" s="188">
        <v>1.7654986522911051</v>
      </c>
      <c r="L283" s="189">
        <f t="shared" si="56"/>
        <v>-0.40915888195547012</v>
      </c>
      <c r="M283" s="188"/>
      <c r="N283" s="189"/>
    </row>
    <row r="284" spans="2:14" x14ac:dyDescent="0.25">
      <c r="B284" s="118" t="s">
        <v>95</v>
      </c>
      <c r="C284" s="188">
        <v>1.9583333333333333</v>
      </c>
      <c r="D284" s="189">
        <v>-0.21006044905008658</v>
      </c>
      <c r="E284" s="188">
        <v>2.2438271604938271</v>
      </c>
      <c r="F284" s="189">
        <f t="shared" si="55"/>
        <v>0.28549382716049387</v>
      </c>
      <c r="G284" s="188">
        <v>1.8543417366946779</v>
      </c>
      <c r="H284" s="189">
        <f t="shared" si="55"/>
        <v>-0.38948542379914919</v>
      </c>
      <c r="I284" s="188">
        <v>1.8375350140056022</v>
      </c>
      <c r="J284" s="189">
        <f t="shared" si="55"/>
        <v>-1.6806722689075793E-2</v>
      </c>
      <c r="K284" s="188">
        <v>1.9036402569593147</v>
      </c>
      <c r="L284" s="189">
        <f t="shared" si="56"/>
        <v>6.6105242953712562E-2</v>
      </c>
      <c r="M284" s="188"/>
      <c r="N284" s="189"/>
    </row>
    <row r="285" spans="2:14" ht="15.75" x14ac:dyDescent="0.25">
      <c r="B285" s="121" t="s">
        <v>32</v>
      </c>
      <c r="C285" s="190">
        <v>1.9644484958979034</v>
      </c>
      <c r="D285" s="191">
        <v>-0.22838999720168629</v>
      </c>
      <c r="E285" s="190">
        <v>2.1871599564744288</v>
      </c>
      <c r="F285" s="191">
        <f t="shared" si="55"/>
        <v>0.22271146057652547</v>
      </c>
      <c r="G285" s="190">
        <v>2.1336870026525201</v>
      </c>
      <c r="H285" s="191">
        <f t="shared" si="55"/>
        <v>-5.3472953821908753E-2</v>
      </c>
      <c r="I285" s="190">
        <v>2.00081466395112</v>
      </c>
      <c r="J285" s="191">
        <f t="shared" si="55"/>
        <v>-0.13287233870140014</v>
      </c>
      <c r="K285" s="190">
        <v>2.1728840754111514</v>
      </c>
      <c r="L285" s="191">
        <f t="shared" si="56"/>
        <v>0.17206941146003141</v>
      </c>
      <c r="M285" s="190">
        <v>1.9193548387096775</v>
      </c>
      <c r="N285" s="191">
        <v>-0.43496989573645317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4"/>
      <c r="K288" s="124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  <mergeCell ref="B48:N48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FE5E23-E455-4D2A-9D1E-CBABAD328720}">
  <sheetPr>
    <tabColor theme="4" tint="0.79998168889431442"/>
  </sheetPr>
  <dimension ref="A4:O89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13" width="11.42578125" style="193"/>
    <col min="14" max="14" width="13.5703125" style="193" bestFit="1" customWidth="1"/>
  </cols>
  <sheetData>
    <row r="4" spans="1:15" ht="48.75" customHeight="1" thickBot="1" x14ac:dyDescent="0.3">
      <c r="B4" s="278" t="s">
        <v>285</v>
      </c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1" t="s">
        <v>68</v>
      </c>
    </row>
    <row r="5" spans="1:15" ht="10.5" customHeight="1" thickBot="1" x14ac:dyDescent="0.3">
      <c r="B5" s="108"/>
      <c r="C5" s="192"/>
      <c r="D5" s="192"/>
      <c r="E5" s="192"/>
      <c r="F5" s="192"/>
      <c r="G5" s="192"/>
      <c r="H5" s="192"/>
      <c r="I5" s="192"/>
      <c r="J5" s="192"/>
      <c r="K5" s="192"/>
      <c r="L5" s="192"/>
      <c r="M5" s="39"/>
      <c r="N5" s="39"/>
      <c r="O5" s="1" t="s">
        <v>69</v>
      </c>
    </row>
    <row r="6" spans="1:15" ht="22.5" thickTop="1" thickBot="1" x14ac:dyDescent="0.3">
      <c r="B6" s="110" t="s">
        <v>32</v>
      </c>
      <c r="C6" s="313" t="s">
        <v>134</v>
      </c>
      <c r="D6" s="314"/>
      <c r="E6" s="314"/>
      <c r="F6" s="314"/>
      <c r="G6" s="314"/>
      <c r="H6" s="314"/>
      <c r="I6" s="314"/>
      <c r="J6" s="314"/>
      <c r="K6" s="314"/>
      <c r="L6" s="314"/>
      <c r="M6" s="314"/>
      <c r="N6" s="314"/>
    </row>
    <row r="7" spans="1:15" ht="22.5" thickTop="1" thickBot="1" x14ac:dyDescent="0.3">
      <c r="B7" s="111"/>
      <c r="C7" s="305">
        <v>2020</v>
      </c>
      <c r="D7" s="306"/>
      <c r="E7" s="307">
        <v>2021</v>
      </c>
      <c r="F7" s="306"/>
      <c r="G7" s="307">
        <v>2022</v>
      </c>
      <c r="H7" s="306"/>
      <c r="I7" s="307">
        <v>2023</v>
      </c>
      <c r="J7" s="306"/>
      <c r="K7" s="307">
        <v>2024</v>
      </c>
      <c r="L7" s="306"/>
      <c r="M7" s="307">
        <v>2025</v>
      </c>
      <c r="N7" s="308"/>
    </row>
    <row r="8" spans="1:15" ht="16.5" thickTop="1" thickBot="1" x14ac:dyDescent="0.3">
      <c r="B8" s="87"/>
      <c r="C8" s="115" t="s">
        <v>71</v>
      </c>
      <c r="D8" s="116" t="str">
        <f>CONCATENATE("dif ",RIGHT(C7,2),"/",RIGHT(C7-1,2))</f>
        <v>dif 20/19</v>
      </c>
      <c r="E8" s="117" t="s">
        <v>71</v>
      </c>
      <c r="F8" s="116" t="str">
        <f>CONCATENATE("dif ",RIGHT(E7,2),"/",RIGHT(C7,2))</f>
        <v>dif 21/20</v>
      </c>
      <c r="G8" s="117" t="s">
        <v>71</v>
      </c>
      <c r="H8" s="116" t="str">
        <f>CONCATENATE("dif ",RIGHT(G7,2),"/",RIGHT(E7,2))</f>
        <v>dif 22/21</v>
      </c>
      <c r="I8" s="117" t="s">
        <v>71</v>
      </c>
      <c r="J8" s="116" t="str">
        <f>CONCATENATE("dif ",RIGHT(I7,2),"/",RIGHT(G7,2))</f>
        <v>dif 23/22</v>
      </c>
      <c r="K8" s="117" t="s">
        <v>71</v>
      </c>
      <c r="L8" s="116" t="str">
        <f>CONCATENATE("dif ",RIGHT(K7,2),"/",RIGHT(I7,2))</f>
        <v>dif 24/23</v>
      </c>
      <c r="M8" s="117" t="s">
        <v>71</v>
      </c>
      <c r="N8" s="116" t="str">
        <f>CONCATENATE("def ",RIGHT(M7,2),"/",RIGHT(K7,2))</f>
        <v>def 25/24</v>
      </c>
    </row>
    <row r="9" spans="1:15" x14ac:dyDescent="0.25">
      <c r="A9" s="1" t="s">
        <v>72</v>
      </c>
      <c r="B9" s="118" t="s">
        <v>73</v>
      </c>
      <c r="C9" s="188">
        <v>2.2460468058191019</v>
      </c>
      <c r="D9" s="189">
        <v>-0.19145623509949861</v>
      </c>
      <c r="E9" s="188">
        <v>1.9022445982798406</v>
      </c>
      <c r="F9" s="189">
        <f t="shared" ref="F9:J21" si="0">IFERROR(E9-C9,"-")</f>
        <v>-0.34380220753926127</v>
      </c>
      <c r="G9" s="188">
        <v>2.8322493991234272</v>
      </c>
      <c r="H9" s="189">
        <f t="shared" si="0"/>
        <v>0.93000480084358661</v>
      </c>
      <c r="I9" s="188">
        <v>2.5235291626074803</v>
      </c>
      <c r="J9" s="189">
        <f t="shared" si="0"/>
        <v>-0.30872023651594693</v>
      </c>
      <c r="K9" s="188">
        <v>2.6250052373570201</v>
      </c>
      <c r="L9" s="189">
        <f t="shared" ref="L9:L21" si="1">IFERROR(K9-I9,"-")</f>
        <v>0.10147607474953979</v>
      </c>
      <c r="M9" s="188">
        <v>2.3200146329566702</v>
      </c>
      <c r="N9" s="189">
        <f t="shared" ref="N9:N14" si="2">IFERROR(M9-K9,"-")</f>
        <v>-0.30499060440034986</v>
      </c>
    </row>
    <row r="10" spans="1:15" x14ac:dyDescent="0.25">
      <c r="A10" s="1" t="s">
        <v>74</v>
      </c>
      <c r="B10" s="118" t="s">
        <v>75</v>
      </c>
      <c r="C10" s="188">
        <v>2.2190549563430921</v>
      </c>
      <c r="D10" s="189">
        <v>-4.0345875039200507E-2</v>
      </c>
      <c r="E10" s="188">
        <v>1.8830991170252456</v>
      </c>
      <c r="F10" s="189">
        <f t="shared" si="0"/>
        <v>-0.33595583931784656</v>
      </c>
      <c r="G10" s="188">
        <v>2.4567090685268771</v>
      </c>
      <c r="H10" s="189">
        <f t="shared" si="0"/>
        <v>0.57360995150163152</v>
      </c>
      <c r="I10" s="188">
        <v>2.2917233809001099</v>
      </c>
      <c r="J10" s="189">
        <f t="shared" si="0"/>
        <v>-0.16498568762676724</v>
      </c>
      <c r="K10" s="188">
        <v>2.4732375690607733</v>
      </c>
      <c r="L10" s="189">
        <f t="shared" si="1"/>
        <v>0.18151418816066345</v>
      </c>
      <c r="M10" s="188">
        <v>2.1117708416914067</v>
      </c>
      <c r="N10" s="189">
        <f t="shared" si="2"/>
        <v>-0.36146672736936658</v>
      </c>
    </row>
    <row r="11" spans="1:15" x14ac:dyDescent="0.25">
      <c r="A11" s="1" t="s">
        <v>76</v>
      </c>
      <c r="B11" s="118" t="s">
        <v>77</v>
      </c>
      <c r="C11" s="188">
        <v>2.2663384064458372</v>
      </c>
      <c r="D11" s="189">
        <v>-2.2689676301075323E-3</v>
      </c>
      <c r="E11" s="188">
        <v>2.1653413498836307</v>
      </c>
      <c r="F11" s="189">
        <f t="shared" si="0"/>
        <v>-0.10099705656220648</v>
      </c>
      <c r="G11" s="188">
        <v>2.3488082178119076</v>
      </c>
      <c r="H11" s="189">
        <f t="shared" si="0"/>
        <v>0.18346686792827693</v>
      </c>
      <c r="I11" s="188">
        <v>2.3180265353142131</v>
      </c>
      <c r="J11" s="189">
        <f t="shared" si="0"/>
        <v>-3.0781682497694529E-2</v>
      </c>
      <c r="K11" s="188">
        <v>2.5529145444255801</v>
      </c>
      <c r="L11" s="189">
        <f t="shared" si="1"/>
        <v>0.23488800911136698</v>
      </c>
      <c r="M11" s="188">
        <v>2.1110739128817468</v>
      </c>
      <c r="N11" s="189">
        <f t="shared" si="2"/>
        <v>-0.44184063154383324</v>
      </c>
    </row>
    <row r="12" spans="1:15" x14ac:dyDescent="0.25">
      <c r="A12" s="1" t="s">
        <v>78</v>
      </c>
      <c r="B12" s="118" t="s">
        <v>79</v>
      </c>
      <c r="C12" s="188" t="s">
        <v>229</v>
      </c>
      <c r="D12" s="189" t="s">
        <v>229</v>
      </c>
      <c r="E12" s="188">
        <v>2.0378243201000314</v>
      </c>
      <c r="F12" s="189" t="str">
        <f t="shared" si="0"/>
        <v>-</v>
      </c>
      <c r="G12" s="188">
        <v>2.5104382929642446</v>
      </c>
      <c r="H12" s="189">
        <f t="shared" si="0"/>
        <v>0.47261397286421314</v>
      </c>
      <c r="I12" s="188">
        <v>2.2301869061292678</v>
      </c>
      <c r="J12" s="189">
        <f t="shared" si="0"/>
        <v>-0.28025138683497675</v>
      </c>
      <c r="K12" s="188">
        <v>2.4243523043775292</v>
      </c>
      <c r="L12" s="189">
        <f t="shared" si="1"/>
        <v>0.1941653982482614</v>
      </c>
      <c r="M12" s="188">
        <v>2.2593373927218678</v>
      </c>
      <c r="N12" s="189">
        <f t="shared" si="2"/>
        <v>-0.1650149116556614</v>
      </c>
    </row>
    <row r="13" spans="1:15" x14ac:dyDescent="0.25">
      <c r="A13" s="1" t="s">
        <v>80</v>
      </c>
      <c r="B13" s="118" t="s">
        <v>81</v>
      </c>
      <c r="C13" s="188" t="s">
        <v>229</v>
      </c>
      <c r="D13" s="189" t="s">
        <v>229</v>
      </c>
      <c r="E13" s="188">
        <v>1.9151056197688323</v>
      </c>
      <c r="F13" s="189" t="str">
        <f t="shared" si="0"/>
        <v>-</v>
      </c>
      <c r="G13" s="188">
        <v>2.4632700120786208</v>
      </c>
      <c r="H13" s="189">
        <f t="shared" si="0"/>
        <v>0.54816439230978853</v>
      </c>
      <c r="I13" s="188">
        <v>2.3830322688887646</v>
      </c>
      <c r="J13" s="189">
        <f t="shared" si="0"/>
        <v>-8.0237743189856214E-2</v>
      </c>
      <c r="K13" s="188">
        <v>2.197144331670394</v>
      </c>
      <c r="L13" s="189">
        <f t="shared" si="1"/>
        <v>-0.1858879372183706</v>
      </c>
      <c r="M13" s="188">
        <v>2.0151193633952253</v>
      </c>
      <c r="N13" s="189">
        <f t="shared" si="2"/>
        <v>-0.18202496827516867</v>
      </c>
    </row>
    <row r="14" spans="1:15" x14ac:dyDescent="0.25">
      <c r="A14" s="1" t="s">
        <v>82</v>
      </c>
      <c r="B14" s="118" t="s">
        <v>83</v>
      </c>
      <c r="C14" s="188" t="s">
        <v>229</v>
      </c>
      <c r="D14" s="189" t="s">
        <v>229</v>
      </c>
      <c r="E14" s="188">
        <v>1.9788051104054354</v>
      </c>
      <c r="F14" s="189" t="str">
        <f t="shared" si="0"/>
        <v>-</v>
      </c>
      <c r="G14" s="188">
        <v>2.2983870967741935</v>
      </c>
      <c r="H14" s="189">
        <f t="shared" si="0"/>
        <v>0.31958198636875812</v>
      </c>
      <c r="I14" s="188">
        <v>2.1486403825835509</v>
      </c>
      <c r="J14" s="189">
        <f t="shared" si="0"/>
        <v>-0.14974671419064256</v>
      </c>
      <c r="K14" s="188">
        <v>2.0572924688125673</v>
      </c>
      <c r="L14" s="189">
        <f t="shared" si="1"/>
        <v>-9.1347913770983613E-2</v>
      </c>
      <c r="M14" s="188">
        <v>2.0359794950414409</v>
      </c>
      <c r="N14" s="189">
        <f t="shared" si="2"/>
        <v>-2.1312973771126398E-2</v>
      </c>
    </row>
    <row r="15" spans="1:15" x14ac:dyDescent="0.25">
      <c r="A15" s="1" t="s">
        <v>84</v>
      </c>
      <c r="B15" s="118" t="s">
        <v>85</v>
      </c>
      <c r="C15" s="188" t="s">
        <v>229</v>
      </c>
      <c r="D15" s="189" t="s">
        <v>229</v>
      </c>
      <c r="E15" s="188">
        <v>2.1686345325739684</v>
      </c>
      <c r="F15" s="189" t="str">
        <f t="shared" si="0"/>
        <v>-</v>
      </c>
      <c r="G15" s="188">
        <v>2.3937399767737655</v>
      </c>
      <c r="H15" s="189">
        <f t="shared" si="0"/>
        <v>0.22510544419979706</v>
      </c>
      <c r="I15" s="188">
        <v>2.4037477691850091</v>
      </c>
      <c r="J15" s="189">
        <f t="shared" si="0"/>
        <v>1.000779241124361E-2</v>
      </c>
      <c r="K15" s="188">
        <v>2.0914386094674557</v>
      </c>
      <c r="L15" s="189">
        <f t="shared" si="1"/>
        <v>-0.31230915971755335</v>
      </c>
      <c r="M15" s="188"/>
      <c r="N15" s="189"/>
    </row>
    <row r="16" spans="1:15" x14ac:dyDescent="0.25">
      <c r="A16" s="1" t="s">
        <v>86</v>
      </c>
      <c r="B16" s="118" t="s">
        <v>87</v>
      </c>
      <c r="C16" s="188">
        <v>2.2469008264462809</v>
      </c>
      <c r="D16" s="189">
        <v>-0.55988522444910105</v>
      </c>
      <c r="E16" s="188">
        <v>2.5961220825852784</v>
      </c>
      <c r="F16" s="189">
        <f t="shared" si="0"/>
        <v>0.34922125613899757</v>
      </c>
      <c r="G16" s="188">
        <v>2.6865335051546393</v>
      </c>
      <c r="H16" s="189">
        <f t="shared" si="0"/>
        <v>9.0411422569360855E-2</v>
      </c>
      <c r="I16" s="188">
        <v>2.8928833455612621</v>
      </c>
      <c r="J16" s="189">
        <f t="shared" si="0"/>
        <v>0.20634984040662285</v>
      </c>
      <c r="K16" s="188">
        <v>2.8021182816919938</v>
      </c>
      <c r="L16" s="189">
        <f t="shared" si="1"/>
        <v>-9.0765063869268303E-2</v>
      </c>
      <c r="M16" s="188"/>
      <c r="N16" s="189"/>
    </row>
    <row r="17" spans="1:15" x14ac:dyDescent="0.25">
      <c r="A17" s="1" t="s">
        <v>88</v>
      </c>
      <c r="B17" s="118" t="s">
        <v>89</v>
      </c>
      <c r="C17" s="188">
        <v>1.9535228344335174</v>
      </c>
      <c r="D17" s="189">
        <v>-0.3270549544609298</v>
      </c>
      <c r="E17" s="188">
        <v>2.197656771687003</v>
      </c>
      <c r="F17" s="189">
        <f t="shared" si="0"/>
        <v>0.24413393725348564</v>
      </c>
      <c r="G17" s="188">
        <v>2.1155368505436143</v>
      </c>
      <c r="H17" s="189">
        <f t="shared" si="0"/>
        <v>-8.211992114338873E-2</v>
      </c>
      <c r="I17" s="188">
        <v>2.5199899579489111</v>
      </c>
      <c r="J17" s="189">
        <f t="shared" si="0"/>
        <v>0.40445310740529683</v>
      </c>
      <c r="K17" s="188">
        <v>2.2043213975583593</v>
      </c>
      <c r="L17" s="189">
        <f t="shared" si="1"/>
        <v>-0.3156685603905518</v>
      </c>
      <c r="M17" s="188"/>
      <c r="N17" s="189"/>
    </row>
    <row r="18" spans="1:15" x14ac:dyDescent="0.25">
      <c r="A18" s="1" t="s">
        <v>90</v>
      </c>
      <c r="B18" s="118" t="s">
        <v>91</v>
      </c>
      <c r="C18" s="188">
        <v>1.8614755861475587</v>
      </c>
      <c r="D18" s="189">
        <v>-0.28640683608299233</v>
      </c>
      <c r="E18" s="188">
        <v>2.1695147304903402</v>
      </c>
      <c r="F18" s="189">
        <f t="shared" si="0"/>
        <v>0.30803914434278146</v>
      </c>
      <c r="G18" s="188">
        <v>2.1997993799015139</v>
      </c>
      <c r="H18" s="189">
        <f t="shared" si="0"/>
        <v>3.0284649411173703E-2</v>
      </c>
      <c r="I18" s="188">
        <v>2.3996983408748114</v>
      </c>
      <c r="J18" s="189">
        <f t="shared" si="0"/>
        <v>0.19989896097329751</v>
      </c>
      <c r="K18" s="188">
        <v>2.2301287686818019</v>
      </c>
      <c r="L18" s="189">
        <f t="shared" si="1"/>
        <v>-0.1695695721930095</v>
      </c>
      <c r="M18" s="188"/>
      <c r="N18" s="189"/>
    </row>
    <row r="19" spans="1:15" x14ac:dyDescent="0.25">
      <c r="A19" s="1" t="s">
        <v>92</v>
      </c>
      <c r="B19" s="118" t="s">
        <v>93</v>
      </c>
      <c r="C19" s="188">
        <v>1.8271224086870681</v>
      </c>
      <c r="D19" s="189">
        <v>-0.37006458693202338</v>
      </c>
      <c r="E19" s="188">
        <v>2.1612137203166228</v>
      </c>
      <c r="F19" s="189">
        <f t="shared" si="0"/>
        <v>0.33409131162955474</v>
      </c>
      <c r="G19" s="188">
        <v>2.2195556611619343</v>
      </c>
      <c r="H19" s="189">
        <f t="shared" si="0"/>
        <v>5.8341940845311413E-2</v>
      </c>
      <c r="I19" s="188">
        <v>2.3657835805129506</v>
      </c>
      <c r="J19" s="189">
        <f t="shared" si="0"/>
        <v>0.14622791935101631</v>
      </c>
      <c r="K19" s="188">
        <v>2.1195535180386686</v>
      </c>
      <c r="L19" s="189">
        <f t="shared" si="1"/>
        <v>-0.24623006247428192</v>
      </c>
      <c r="M19" s="188"/>
      <c r="N19" s="189"/>
    </row>
    <row r="20" spans="1:15" x14ac:dyDescent="0.25">
      <c r="A20" s="1" t="s">
        <v>94</v>
      </c>
      <c r="B20" s="118" t="s">
        <v>95</v>
      </c>
      <c r="C20" s="188">
        <v>1.945705257110026</v>
      </c>
      <c r="D20" s="189">
        <v>-0.39368202004908115</v>
      </c>
      <c r="E20" s="188">
        <v>2.5686888669084516</v>
      </c>
      <c r="F20" s="189">
        <f t="shared" si="0"/>
        <v>0.6229836097984256</v>
      </c>
      <c r="G20" s="188">
        <v>2.2557062382641351</v>
      </c>
      <c r="H20" s="189">
        <f t="shared" si="0"/>
        <v>-0.31298262864431647</v>
      </c>
      <c r="I20" s="188">
        <v>2.5818146474218788</v>
      </c>
      <c r="J20" s="189">
        <f t="shared" si="0"/>
        <v>0.32610840915774375</v>
      </c>
      <c r="K20" s="188">
        <v>2.241869341020748</v>
      </c>
      <c r="L20" s="189">
        <f t="shared" si="1"/>
        <v>-0.33994530640113085</v>
      </c>
      <c r="M20" s="188"/>
      <c r="N20" s="189"/>
    </row>
    <row r="21" spans="1:15" ht="15.75" x14ac:dyDescent="0.25">
      <c r="A21" s="1" t="s">
        <v>0</v>
      </c>
      <c r="B21" s="121" t="s">
        <v>32</v>
      </c>
      <c r="C21" s="190">
        <v>2.0931353607171839</v>
      </c>
      <c r="D21" s="191">
        <v>-0.19090610651508255</v>
      </c>
      <c r="E21" s="190">
        <v>2.1866149593931499</v>
      </c>
      <c r="F21" s="191">
        <f t="shared" si="0"/>
        <v>9.3479598675966002E-2</v>
      </c>
      <c r="G21" s="190">
        <v>2.3720011696365835</v>
      </c>
      <c r="H21" s="191">
        <f t="shared" si="0"/>
        <v>0.1853862102434336</v>
      </c>
      <c r="I21" s="190">
        <v>2.410875374829053</v>
      </c>
      <c r="J21" s="191">
        <f t="shared" si="0"/>
        <v>3.8874205192469535E-2</v>
      </c>
      <c r="K21" s="190">
        <v>2.328977841201255</v>
      </c>
      <c r="L21" s="191">
        <f t="shared" si="1"/>
        <v>-8.1897533627798058E-2</v>
      </c>
      <c r="M21" s="190">
        <v>2.1431291337799534</v>
      </c>
      <c r="N21" s="191">
        <v>-0.2631702043908466</v>
      </c>
    </row>
    <row r="22" spans="1:15" ht="6" customHeight="1" x14ac:dyDescent="0.25"/>
    <row r="23" spans="1:15" x14ac:dyDescent="0.25">
      <c r="B23" s="107" t="s">
        <v>57</v>
      </c>
      <c r="C23" s="194"/>
      <c r="D23" s="194"/>
      <c r="E23" s="194"/>
      <c r="F23" s="194"/>
      <c r="G23" s="194"/>
      <c r="H23" s="194"/>
      <c r="I23" s="194"/>
      <c r="J23" s="194"/>
      <c r="K23" s="194"/>
      <c r="L23" s="194"/>
      <c r="M23" s="194"/>
      <c r="N23" s="194"/>
    </row>
    <row r="24" spans="1:15" x14ac:dyDescent="0.25">
      <c r="N24" s="195"/>
    </row>
    <row r="26" spans="1:15" ht="48.75" customHeight="1" thickBot="1" x14ac:dyDescent="0.3">
      <c r="B26" s="278" t="s">
        <v>297</v>
      </c>
      <c r="C26" s="278"/>
      <c r="D26" s="278"/>
      <c r="E26" s="278"/>
      <c r="F26" s="278"/>
      <c r="G26" s="278"/>
      <c r="H26" s="278"/>
      <c r="I26" s="278"/>
      <c r="J26" s="278"/>
      <c r="K26" s="278"/>
      <c r="L26" s="278"/>
      <c r="M26" s="278"/>
      <c r="N26" s="278"/>
      <c r="O26" s="1" t="s">
        <v>96</v>
      </c>
    </row>
    <row r="27" spans="1:15" ht="10.5" customHeight="1" thickBot="1" x14ac:dyDescent="0.3">
      <c r="B27" s="108"/>
      <c r="C27" s="192"/>
      <c r="D27" s="192"/>
      <c r="E27" s="192"/>
      <c r="F27" s="192"/>
      <c r="G27" s="192"/>
      <c r="H27" s="192"/>
      <c r="I27" s="192"/>
      <c r="J27" s="192"/>
      <c r="K27" s="192"/>
      <c r="L27" s="192"/>
      <c r="M27" s="39"/>
      <c r="N27" s="39"/>
      <c r="O27" s="1" t="s">
        <v>97</v>
      </c>
    </row>
    <row r="28" spans="1:15" ht="22.5" thickTop="1" thickBot="1" x14ac:dyDescent="0.3">
      <c r="B28" s="125" t="s">
        <v>98</v>
      </c>
      <c r="C28" s="313" t="s">
        <v>139</v>
      </c>
      <c r="D28" s="314"/>
      <c r="E28" s="314"/>
      <c r="F28" s="314"/>
      <c r="G28" s="314"/>
      <c r="H28" s="314"/>
      <c r="I28" s="314"/>
      <c r="J28" s="314"/>
      <c r="K28" s="314"/>
      <c r="L28" s="314"/>
      <c r="M28" s="314"/>
      <c r="N28" s="314"/>
    </row>
    <row r="29" spans="1:15" ht="22.5" thickTop="1" thickBot="1" x14ac:dyDescent="0.3">
      <c r="B29" s="111"/>
      <c r="C29" s="305">
        <v>2020</v>
      </c>
      <c r="D29" s="306"/>
      <c r="E29" s="307">
        <v>2021</v>
      </c>
      <c r="F29" s="306"/>
      <c r="G29" s="307">
        <v>2022</v>
      </c>
      <c r="H29" s="306"/>
      <c r="I29" s="307">
        <v>2023</v>
      </c>
      <c r="J29" s="306"/>
      <c r="K29" s="307">
        <v>2024</v>
      </c>
      <c r="L29" s="306"/>
      <c r="M29" s="307">
        <f>M$7</f>
        <v>2025</v>
      </c>
      <c r="N29" s="308"/>
    </row>
    <row r="30" spans="1:15" ht="16.5" thickTop="1" thickBot="1" x14ac:dyDescent="0.3">
      <c r="B30" s="87"/>
      <c r="C30" s="115" t="s">
        <v>71</v>
      </c>
      <c r="D30" s="116" t="str">
        <f>CONCATENATE("dif ",RIGHT(C29,2),"/",RIGHT(C29-1,2))</f>
        <v>dif 20/19</v>
      </c>
      <c r="E30" s="117" t="s">
        <v>71</v>
      </c>
      <c r="F30" s="116" t="str">
        <f>CONCATENATE("dif ",RIGHT(E29,2),"/",RIGHT(C29,2))</f>
        <v>dif 21/20</v>
      </c>
      <c r="G30" s="117" t="s">
        <v>71</v>
      </c>
      <c r="H30" s="116" t="str">
        <f>CONCATENATE("dif ",RIGHT(G29,2),"/",RIGHT(E29,2))</f>
        <v>dif 22/21</v>
      </c>
      <c r="I30" s="117" t="s">
        <v>71</v>
      </c>
      <c r="J30" s="116" t="str">
        <f>CONCATENATE("dif ",RIGHT(I29,2),"/",RIGHT(G29,2))</f>
        <v>dif 23/22</v>
      </c>
      <c r="K30" s="117" t="s">
        <v>71</v>
      </c>
      <c r="L30" s="116" t="str">
        <f>CONCATENATE("dif ",RIGHT(K29,2),"/",RIGHT(I29,2))</f>
        <v>dif 24/23</v>
      </c>
      <c r="M30" s="117" t="s">
        <v>71</v>
      </c>
      <c r="N30" s="116" t="str">
        <f>CONCATENATE("def ",RIGHT(M29,2),"/",RIGHT(K29,2))</f>
        <v>def 25/24</v>
      </c>
    </row>
    <row r="31" spans="1:15" x14ac:dyDescent="0.25">
      <c r="B31" s="118" t="s">
        <v>73</v>
      </c>
      <c r="C31" s="188">
        <v>2.2460468058191019</v>
      </c>
      <c r="D31" s="189">
        <v>-0.19145623509949861</v>
      </c>
      <c r="E31" s="188">
        <v>1.9022445982798406</v>
      </c>
      <c r="F31" s="189">
        <f t="shared" ref="F31:J43" si="3">IFERROR(E31-C31,"-")</f>
        <v>-0.34380220753926127</v>
      </c>
      <c r="G31" s="188">
        <v>2.8322493991234272</v>
      </c>
      <c r="H31" s="189">
        <f t="shared" si="3"/>
        <v>0.93000480084358661</v>
      </c>
      <c r="I31" s="188">
        <v>2.5235291626074803</v>
      </c>
      <c r="J31" s="189">
        <f t="shared" si="3"/>
        <v>-0.30872023651594693</v>
      </c>
      <c r="K31" s="188">
        <v>2.6250052373570201</v>
      </c>
      <c r="L31" s="189">
        <f t="shared" ref="L31:L43" si="4">IFERROR(K31-I31,"-")</f>
        <v>0.10147607474953979</v>
      </c>
      <c r="M31" s="188">
        <v>2.3200146329566702</v>
      </c>
      <c r="N31" s="189">
        <f>IFERROR(M31-K31,"-")</f>
        <v>-0.30499060440034986</v>
      </c>
    </row>
    <row r="32" spans="1:15" x14ac:dyDescent="0.25">
      <c r="B32" s="118" t="s">
        <v>75</v>
      </c>
      <c r="C32" s="188">
        <v>2.2190549563430921</v>
      </c>
      <c r="D32" s="189">
        <v>-4.0345875039200507E-2</v>
      </c>
      <c r="E32" s="188">
        <v>1.8830991170252456</v>
      </c>
      <c r="F32" s="189">
        <f t="shared" si="3"/>
        <v>-0.33595583931784656</v>
      </c>
      <c r="G32" s="188">
        <v>2.4567090685268771</v>
      </c>
      <c r="H32" s="189">
        <f t="shared" si="3"/>
        <v>0.57360995150163152</v>
      </c>
      <c r="I32" s="188">
        <v>2.2917233809001099</v>
      </c>
      <c r="J32" s="189">
        <f t="shared" si="3"/>
        <v>-0.16498568762676724</v>
      </c>
      <c r="K32" s="188">
        <v>2.4732375690607733</v>
      </c>
      <c r="L32" s="189">
        <f t="shared" si="4"/>
        <v>0.18151418816066345</v>
      </c>
      <c r="M32" s="188">
        <v>2.1117708416914067</v>
      </c>
      <c r="N32" s="189">
        <f t="shared" ref="N32:N36" si="5">IFERROR(M32-K32,"-")</f>
        <v>-0.36146672736936658</v>
      </c>
    </row>
    <row r="33" spans="2:15" x14ac:dyDescent="0.25">
      <c r="B33" s="118" t="s">
        <v>77</v>
      </c>
      <c r="C33" s="188">
        <v>2.2663384064458372</v>
      </c>
      <c r="D33" s="189">
        <v>-2.2689676301075323E-3</v>
      </c>
      <c r="E33" s="188">
        <v>2.1653413498836307</v>
      </c>
      <c r="F33" s="189">
        <f t="shared" si="3"/>
        <v>-0.10099705656220648</v>
      </c>
      <c r="G33" s="188">
        <v>2.3488082178119076</v>
      </c>
      <c r="H33" s="189">
        <f t="shared" si="3"/>
        <v>0.18346686792827693</v>
      </c>
      <c r="I33" s="188">
        <v>2.3180265353142131</v>
      </c>
      <c r="J33" s="189">
        <f t="shared" si="3"/>
        <v>-3.0781682497694529E-2</v>
      </c>
      <c r="K33" s="188">
        <v>2.5529145444255801</v>
      </c>
      <c r="L33" s="189">
        <f t="shared" si="4"/>
        <v>0.23488800911136698</v>
      </c>
      <c r="M33" s="188">
        <v>2.1110739128817468</v>
      </c>
      <c r="N33" s="189">
        <f t="shared" si="5"/>
        <v>-0.44184063154383324</v>
      </c>
    </row>
    <row r="34" spans="2:15" x14ac:dyDescent="0.25">
      <c r="B34" s="118" t="s">
        <v>79</v>
      </c>
      <c r="C34" s="188" t="s">
        <v>229</v>
      </c>
      <c r="D34" s="189" t="s">
        <v>229</v>
      </c>
      <c r="E34" s="188">
        <v>2.0378243201000314</v>
      </c>
      <c r="F34" s="189" t="str">
        <f t="shared" si="3"/>
        <v>-</v>
      </c>
      <c r="G34" s="188">
        <v>2.5104382929642446</v>
      </c>
      <c r="H34" s="189">
        <f t="shared" si="3"/>
        <v>0.47261397286421314</v>
      </c>
      <c r="I34" s="188">
        <v>2.2301869061292678</v>
      </c>
      <c r="J34" s="189">
        <f t="shared" si="3"/>
        <v>-0.28025138683497675</v>
      </c>
      <c r="K34" s="188">
        <v>2.4243523043775292</v>
      </c>
      <c r="L34" s="189">
        <f t="shared" si="4"/>
        <v>0.1941653982482614</v>
      </c>
      <c r="M34" s="188">
        <v>2.2593373927218678</v>
      </c>
      <c r="N34" s="189">
        <f t="shared" si="5"/>
        <v>-0.1650149116556614</v>
      </c>
    </row>
    <row r="35" spans="2:15" x14ac:dyDescent="0.25">
      <c r="B35" s="118" t="s">
        <v>81</v>
      </c>
      <c r="C35" s="188" t="s">
        <v>229</v>
      </c>
      <c r="D35" s="189" t="s">
        <v>229</v>
      </c>
      <c r="E35" s="188">
        <v>1.9151056197688323</v>
      </c>
      <c r="F35" s="189" t="str">
        <f t="shared" si="3"/>
        <v>-</v>
      </c>
      <c r="G35" s="188">
        <v>2.4632700120786208</v>
      </c>
      <c r="H35" s="189">
        <f t="shared" si="3"/>
        <v>0.54816439230978853</v>
      </c>
      <c r="I35" s="188">
        <v>2.3830322688887646</v>
      </c>
      <c r="J35" s="189">
        <f t="shared" si="3"/>
        <v>-8.0237743189856214E-2</v>
      </c>
      <c r="K35" s="188">
        <v>2.197144331670394</v>
      </c>
      <c r="L35" s="189">
        <f t="shared" si="4"/>
        <v>-0.1858879372183706</v>
      </c>
      <c r="M35" s="188">
        <v>2.0151193633952253</v>
      </c>
      <c r="N35" s="189">
        <f t="shared" si="5"/>
        <v>-0.18202496827516867</v>
      </c>
    </row>
    <row r="36" spans="2:15" x14ac:dyDescent="0.25">
      <c r="B36" s="118" t="s">
        <v>83</v>
      </c>
      <c r="C36" s="188" t="s">
        <v>229</v>
      </c>
      <c r="D36" s="189" t="s">
        <v>229</v>
      </c>
      <c r="E36" s="188">
        <v>1.9788051104054354</v>
      </c>
      <c r="F36" s="189" t="str">
        <f t="shared" si="3"/>
        <v>-</v>
      </c>
      <c r="G36" s="188">
        <v>2.2983870967741935</v>
      </c>
      <c r="H36" s="189">
        <f t="shared" si="3"/>
        <v>0.31958198636875812</v>
      </c>
      <c r="I36" s="188">
        <v>2.1486403825835509</v>
      </c>
      <c r="J36" s="189">
        <f t="shared" si="3"/>
        <v>-0.14974671419064256</v>
      </c>
      <c r="K36" s="188">
        <v>2.0572924688125673</v>
      </c>
      <c r="L36" s="189">
        <f t="shared" si="4"/>
        <v>-9.1347913770983613E-2</v>
      </c>
      <c r="M36" s="188">
        <v>2.0359794950414409</v>
      </c>
      <c r="N36" s="189">
        <f t="shared" si="5"/>
        <v>-2.1312973771126398E-2</v>
      </c>
    </row>
    <row r="37" spans="2:15" x14ac:dyDescent="0.25">
      <c r="B37" s="118" t="s">
        <v>85</v>
      </c>
      <c r="C37" s="188" t="s">
        <v>229</v>
      </c>
      <c r="D37" s="189" t="s">
        <v>229</v>
      </c>
      <c r="E37" s="188">
        <v>2.1686345325739684</v>
      </c>
      <c r="F37" s="189" t="str">
        <f t="shared" si="3"/>
        <v>-</v>
      </c>
      <c r="G37" s="188">
        <v>2.3937399767737655</v>
      </c>
      <c r="H37" s="189">
        <f t="shared" si="3"/>
        <v>0.22510544419979706</v>
      </c>
      <c r="I37" s="188">
        <v>2.4037477691850091</v>
      </c>
      <c r="J37" s="189">
        <f t="shared" si="3"/>
        <v>1.000779241124361E-2</v>
      </c>
      <c r="K37" s="188">
        <v>2.0914386094674557</v>
      </c>
      <c r="L37" s="189">
        <f t="shared" si="4"/>
        <v>-0.31230915971755335</v>
      </c>
      <c r="M37" s="188"/>
      <c r="N37" s="189"/>
    </row>
    <row r="38" spans="2:15" x14ac:dyDescent="0.25">
      <c r="B38" s="118" t="s">
        <v>87</v>
      </c>
      <c r="C38" s="188">
        <v>2.2469008264462809</v>
      </c>
      <c r="D38" s="189">
        <v>-0.55988522444910105</v>
      </c>
      <c r="E38" s="188">
        <v>2.5961220825852784</v>
      </c>
      <c r="F38" s="189">
        <f t="shared" si="3"/>
        <v>0.34922125613899757</v>
      </c>
      <c r="G38" s="188">
        <v>2.6865335051546393</v>
      </c>
      <c r="H38" s="189">
        <f t="shared" si="3"/>
        <v>9.0411422569360855E-2</v>
      </c>
      <c r="I38" s="188">
        <v>2.8928833455612621</v>
      </c>
      <c r="J38" s="189">
        <f t="shared" si="3"/>
        <v>0.20634984040662285</v>
      </c>
      <c r="K38" s="188">
        <v>2.8021182816919938</v>
      </c>
      <c r="L38" s="189">
        <f t="shared" si="4"/>
        <v>-9.0765063869268303E-2</v>
      </c>
      <c r="M38" s="188"/>
      <c r="N38" s="189"/>
    </row>
    <row r="39" spans="2:15" x14ac:dyDescent="0.25">
      <c r="B39" s="118" t="s">
        <v>89</v>
      </c>
      <c r="C39" s="188">
        <v>1.9535228344335174</v>
      </c>
      <c r="D39" s="189">
        <v>-0.3270549544609298</v>
      </c>
      <c r="E39" s="188">
        <v>2.197656771687003</v>
      </c>
      <c r="F39" s="189">
        <f t="shared" si="3"/>
        <v>0.24413393725348564</v>
      </c>
      <c r="G39" s="188">
        <v>2.1155368505436143</v>
      </c>
      <c r="H39" s="189">
        <f t="shared" si="3"/>
        <v>-8.211992114338873E-2</v>
      </c>
      <c r="I39" s="188">
        <v>2.5199899579489111</v>
      </c>
      <c r="J39" s="189">
        <f t="shared" si="3"/>
        <v>0.40445310740529683</v>
      </c>
      <c r="K39" s="188">
        <v>2.2043213975583593</v>
      </c>
      <c r="L39" s="189">
        <f t="shared" si="4"/>
        <v>-0.3156685603905518</v>
      </c>
      <c r="M39" s="188"/>
      <c r="N39" s="189"/>
    </row>
    <row r="40" spans="2:15" x14ac:dyDescent="0.25">
      <c r="B40" s="118" t="s">
        <v>91</v>
      </c>
      <c r="C40" s="188">
        <v>1.8614755861475587</v>
      </c>
      <c r="D40" s="189">
        <v>-0.28640683608299233</v>
      </c>
      <c r="E40" s="188">
        <v>2.1695147304903402</v>
      </c>
      <c r="F40" s="189">
        <f t="shared" si="3"/>
        <v>0.30803914434278146</v>
      </c>
      <c r="G40" s="188">
        <v>2.1997993799015139</v>
      </c>
      <c r="H40" s="189">
        <f t="shared" si="3"/>
        <v>3.0284649411173703E-2</v>
      </c>
      <c r="I40" s="188">
        <v>2.3996983408748114</v>
      </c>
      <c r="J40" s="189">
        <f t="shared" si="3"/>
        <v>0.19989896097329751</v>
      </c>
      <c r="K40" s="188">
        <v>2.2301287686818019</v>
      </c>
      <c r="L40" s="189">
        <f t="shared" si="4"/>
        <v>-0.1695695721930095</v>
      </c>
      <c r="M40" s="188"/>
      <c r="N40" s="189"/>
    </row>
    <row r="41" spans="2:15" x14ac:dyDescent="0.25">
      <c r="B41" s="118" t="s">
        <v>93</v>
      </c>
      <c r="C41" s="188">
        <v>1.8271224086870681</v>
      </c>
      <c r="D41" s="189">
        <v>-0.37006458693202338</v>
      </c>
      <c r="E41" s="188">
        <v>2.1612137203166228</v>
      </c>
      <c r="F41" s="189">
        <f t="shared" si="3"/>
        <v>0.33409131162955474</v>
      </c>
      <c r="G41" s="188">
        <v>2.2195556611619343</v>
      </c>
      <c r="H41" s="189">
        <f t="shared" si="3"/>
        <v>5.8341940845311413E-2</v>
      </c>
      <c r="I41" s="188">
        <v>2.3657835805129506</v>
      </c>
      <c r="J41" s="189">
        <f t="shared" si="3"/>
        <v>0.14622791935101631</v>
      </c>
      <c r="K41" s="188">
        <v>2.1195535180386686</v>
      </c>
      <c r="L41" s="189">
        <f t="shared" si="4"/>
        <v>-0.24623006247428192</v>
      </c>
      <c r="M41" s="188"/>
      <c r="N41" s="189"/>
    </row>
    <row r="42" spans="2:15" x14ac:dyDescent="0.25">
      <c r="B42" s="118" t="s">
        <v>95</v>
      </c>
      <c r="C42" s="188">
        <v>1.945705257110026</v>
      </c>
      <c r="D42" s="189">
        <v>-0.39368202004908115</v>
      </c>
      <c r="E42" s="188">
        <v>2.5686888669084516</v>
      </c>
      <c r="F42" s="189">
        <f t="shared" si="3"/>
        <v>0.6229836097984256</v>
      </c>
      <c r="G42" s="188">
        <v>2.2557062382641351</v>
      </c>
      <c r="H42" s="189">
        <f t="shared" si="3"/>
        <v>-0.31298262864431647</v>
      </c>
      <c r="I42" s="188">
        <v>2.5818146474218788</v>
      </c>
      <c r="J42" s="189">
        <f t="shared" si="3"/>
        <v>0.32610840915774375</v>
      </c>
      <c r="K42" s="188">
        <v>2.241869341020748</v>
      </c>
      <c r="L42" s="189">
        <f t="shared" si="4"/>
        <v>-0.33994530640113085</v>
      </c>
      <c r="M42" s="188"/>
      <c r="N42" s="189"/>
    </row>
    <row r="43" spans="2:15" ht="15.75" x14ac:dyDescent="0.25">
      <c r="B43" s="121" t="s">
        <v>32</v>
      </c>
      <c r="C43" s="190">
        <v>2.0931353607171839</v>
      </c>
      <c r="D43" s="191">
        <v>-0.19090610651508255</v>
      </c>
      <c r="E43" s="190">
        <v>2.1866149593931499</v>
      </c>
      <c r="F43" s="191">
        <f t="shared" si="3"/>
        <v>9.3479598675966002E-2</v>
      </c>
      <c r="G43" s="190">
        <v>2.3720011696365835</v>
      </c>
      <c r="H43" s="191">
        <f t="shared" si="3"/>
        <v>0.1853862102434336</v>
      </c>
      <c r="I43" s="190">
        <v>2.410875374829053</v>
      </c>
      <c r="J43" s="191">
        <f t="shared" si="3"/>
        <v>3.8874205192469535E-2</v>
      </c>
      <c r="K43" s="190">
        <v>2.328977841201255</v>
      </c>
      <c r="L43" s="191">
        <f t="shared" si="4"/>
        <v>-8.1897533627798058E-2</v>
      </c>
      <c r="M43" s="190">
        <v>2.1431291337799534</v>
      </c>
      <c r="N43" s="191">
        <v>-0.2631702043908466</v>
      </c>
    </row>
    <row r="44" spans="2:15" ht="6" customHeight="1" x14ac:dyDescent="0.25"/>
    <row r="45" spans="2:15" x14ac:dyDescent="0.25">
      <c r="B45" s="107" t="s">
        <v>57</v>
      </c>
      <c r="C45" s="194"/>
      <c r="D45" s="194"/>
      <c r="E45" s="194"/>
      <c r="F45" s="194"/>
      <c r="G45" s="194"/>
      <c r="H45" s="194"/>
      <c r="I45" s="194"/>
      <c r="J45" s="194"/>
      <c r="K45" s="194"/>
      <c r="L45" s="194"/>
      <c r="M45" s="194"/>
      <c r="N45" s="194"/>
    </row>
    <row r="48" spans="2:15" ht="48.75" customHeight="1" thickBot="1" x14ac:dyDescent="0.3">
      <c r="B48" s="278" t="s">
        <v>298</v>
      </c>
      <c r="C48" s="278"/>
      <c r="D48" s="278"/>
      <c r="E48" s="278"/>
      <c r="F48" s="278"/>
      <c r="G48" s="278"/>
      <c r="H48" s="278"/>
      <c r="I48" s="278"/>
      <c r="J48" s="278"/>
      <c r="K48" s="278"/>
      <c r="L48" s="278"/>
      <c r="M48" s="278"/>
      <c r="N48" s="278"/>
      <c r="O48" s="1" t="s">
        <v>100</v>
      </c>
    </row>
    <row r="49" spans="1:15" ht="10.5" customHeight="1" thickBot="1" x14ac:dyDescent="0.3">
      <c r="B49" s="108"/>
      <c r="C49" s="192"/>
      <c r="D49" s="192"/>
      <c r="E49" s="192"/>
      <c r="F49" s="192"/>
      <c r="G49" s="192"/>
      <c r="H49" s="192"/>
      <c r="I49" s="192"/>
      <c r="J49" s="192"/>
      <c r="K49" s="192"/>
      <c r="L49" s="192"/>
      <c r="M49" s="39"/>
      <c r="N49" s="39"/>
      <c r="O49" s="1" t="s">
        <v>101</v>
      </c>
    </row>
    <row r="50" spans="1:15" ht="22.5" thickTop="1" thickBot="1" x14ac:dyDescent="0.3">
      <c r="B50" s="111"/>
      <c r="C50" s="313" t="s">
        <v>63</v>
      </c>
      <c r="D50" s="314"/>
      <c r="E50" s="314"/>
      <c r="F50" s="314"/>
      <c r="G50" s="314"/>
      <c r="H50" s="314"/>
      <c r="I50" s="314"/>
      <c r="J50" s="314"/>
      <c r="K50" s="314"/>
      <c r="L50" s="314"/>
      <c r="M50" s="314"/>
      <c r="N50" s="314"/>
    </row>
    <row r="51" spans="1:15" ht="22.5" thickTop="1" thickBot="1" x14ac:dyDescent="0.3">
      <c r="B51" s="111"/>
      <c r="C51" s="305">
        <v>2020</v>
      </c>
      <c r="D51" s="306"/>
      <c r="E51" s="307">
        <v>2021</v>
      </c>
      <c r="F51" s="306"/>
      <c r="G51" s="307">
        <v>2022</v>
      </c>
      <c r="H51" s="306"/>
      <c r="I51" s="307">
        <v>2023</v>
      </c>
      <c r="J51" s="306"/>
      <c r="K51" s="307">
        <v>2024</v>
      </c>
      <c r="L51" s="306"/>
      <c r="M51" s="307">
        <f>M$7</f>
        <v>2025</v>
      </c>
      <c r="N51" s="308"/>
    </row>
    <row r="52" spans="1:15" ht="16.5" thickTop="1" thickBot="1" x14ac:dyDescent="0.3">
      <c r="B52" s="87"/>
      <c r="C52" s="115" t="s">
        <v>71</v>
      </c>
      <c r="D52" s="116" t="str">
        <f>CONCATENATE("dif ",RIGHT(C51,2),"/",RIGHT(C51-1,2))</f>
        <v>dif 20/19</v>
      </c>
      <c r="E52" s="117" t="s">
        <v>71</v>
      </c>
      <c r="F52" s="116" t="str">
        <f>CONCATENATE("dif ",RIGHT(E51,2),"/",RIGHT(C51,2))</f>
        <v>dif 21/20</v>
      </c>
      <c r="G52" s="117" t="s">
        <v>71</v>
      </c>
      <c r="H52" s="116" t="str">
        <f>CONCATENATE("dif ",RIGHT(G51,2),"/",RIGHT(E51,2))</f>
        <v>dif 22/21</v>
      </c>
      <c r="I52" s="117" t="s">
        <v>71</v>
      </c>
      <c r="J52" s="116" t="str">
        <f>CONCATENATE("dif ",RIGHT(I51,2),"/",RIGHT(G51,2))</f>
        <v>dif 23/22</v>
      </c>
      <c r="K52" s="117" t="s">
        <v>71</v>
      </c>
      <c r="L52" s="116" t="str">
        <f>CONCATENATE("dif ",RIGHT(K51,2),"/",RIGHT(I51,2))</f>
        <v>dif 24/23</v>
      </c>
      <c r="M52" s="117" t="s">
        <v>71</v>
      </c>
      <c r="N52" s="116" t="str">
        <f>CONCATENATE("def ",RIGHT(M51,2),"/",RIGHT(K51,2))</f>
        <v>def 25/24</v>
      </c>
    </row>
    <row r="53" spans="1:15" x14ac:dyDescent="0.25">
      <c r="A53" s="1"/>
      <c r="B53" s="118" t="s">
        <v>73</v>
      </c>
      <c r="C53" s="188">
        <v>2.4191376017690218</v>
      </c>
      <c r="D53" s="189">
        <v>-3.6153009259294322E-2</v>
      </c>
      <c r="E53" s="188">
        <v>1.8884439359267735</v>
      </c>
      <c r="F53" s="189">
        <f t="shared" ref="F53:J65" si="6">IFERROR(E53-C53,"-")</f>
        <v>-0.53069366584224831</v>
      </c>
      <c r="G53" s="188">
        <v>3.0459280303030303</v>
      </c>
      <c r="H53" s="189">
        <f t="shared" si="6"/>
        <v>1.1574840943762568</v>
      </c>
      <c r="I53" s="188">
        <v>2.5357270326218861</v>
      </c>
      <c r="J53" s="189">
        <f t="shared" si="6"/>
        <v>-0.51020099768114413</v>
      </c>
      <c r="K53" s="188">
        <v>2.677678115656676</v>
      </c>
      <c r="L53" s="189">
        <f t="shared" ref="L53:L65" si="7">IFERROR(K53-I53,"-")</f>
        <v>0.14195108303478987</v>
      </c>
      <c r="M53" s="188">
        <v>2.5616615067079462</v>
      </c>
      <c r="N53" s="189">
        <f>IFERROR(M53-K53,"-")</f>
        <v>-0.11601660894872978</v>
      </c>
    </row>
    <row r="54" spans="1:15" x14ac:dyDescent="0.25">
      <c r="A54" s="1"/>
      <c r="B54" s="118" t="s">
        <v>75</v>
      </c>
      <c r="C54" s="188">
        <v>2.3082387594212941</v>
      </c>
      <c r="D54" s="189">
        <v>-5.0871010476857492E-2</v>
      </c>
      <c r="E54" s="188">
        <v>1.9543461439257157</v>
      </c>
      <c r="F54" s="189">
        <f t="shared" si="6"/>
        <v>-0.35389261549557838</v>
      </c>
      <c r="G54" s="188">
        <v>2.5615745079662604</v>
      </c>
      <c r="H54" s="189">
        <f t="shared" si="6"/>
        <v>0.6072283640405447</v>
      </c>
      <c r="I54" s="188">
        <v>2.3779191670884248</v>
      </c>
      <c r="J54" s="189">
        <f t="shared" si="6"/>
        <v>-0.18365534087783564</v>
      </c>
      <c r="K54" s="188">
        <v>2.5754752996869512</v>
      </c>
      <c r="L54" s="189">
        <f t="shared" si="7"/>
        <v>0.19755613259852645</v>
      </c>
      <c r="M54" s="188">
        <v>2.3074914001783666</v>
      </c>
      <c r="N54" s="189">
        <f t="shared" ref="N54:N58" si="8">IFERROR(M54-K54,"-")</f>
        <v>-0.26798389950858459</v>
      </c>
    </row>
    <row r="55" spans="1:15" x14ac:dyDescent="0.25">
      <c r="A55" s="1"/>
      <c r="B55" s="118" t="s">
        <v>77</v>
      </c>
      <c r="C55" s="188">
        <v>2.3149999999999999</v>
      </c>
      <c r="D55" s="189">
        <v>-9.8919619706139272E-3</v>
      </c>
      <c r="E55" s="188">
        <v>2.4047530634979575</v>
      </c>
      <c r="F55" s="189">
        <f t="shared" si="6"/>
        <v>8.975306349795753E-2</v>
      </c>
      <c r="G55" s="188">
        <v>2.4389859864588255</v>
      </c>
      <c r="H55" s="189">
        <f t="shared" si="6"/>
        <v>3.4232922960867995E-2</v>
      </c>
      <c r="I55" s="188">
        <v>2.280765423952491</v>
      </c>
      <c r="J55" s="189">
        <f t="shared" si="6"/>
        <v>-0.15822056250633443</v>
      </c>
      <c r="K55" s="188">
        <v>2.5351388153415537</v>
      </c>
      <c r="L55" s="189">
        <f t="shared" si="7"/>
        <v>0.25437339138906268</v>
      </c>
      <c r="M55" s="188">
        <v>2.2286604720955734</v>
      </c>
      <c r="N55" s="189">
        <f t="shared" si="8"/>
        <v>-0.30647834324598033</v>
      </c>
    </row>
    <row r="56" spans="1:15" x14ac:dyDescent="0.25">
      <c r="A56" s="1"/>
      <c r="B56" s="118" t="s">
        <v>79</v>
      </c>
      <c r="C56" s="188" t="s">
        <v>229</v>
      </c>
      <c r="D56" s="189" t="s">
        <v>229</v>
      </c>
      <c r="E56" s="188">
        <v>2.0838247011952191</v>
      </c>
      <c r="F56" s="189" t="str">
        <f t="shared" si="6"/>
        <v>-</v>
      </c>
      <c r="G56" s="188">
        <v>2.5931468036125378</v>
      </c>
      <c r="H56" s="189">
        <f t="shared" si="6"/>
        <v>0.50932210241731868</v>
      </c>
      <c r="I56" s="188">
        <v>2.3284384871510286</v>
      </c>
      <c r="J56" s="189">
        <f t="shared" si="6"/>
        <v>-0.26470831646150916</v>
      </c>
      <c r="K56" s="188">
        <v>2.5466188983430365</v>
      </c>
      <c r="L56" s="189">
        <f t="shared" si="7"/>
        <v>0.21818041119200782</v>
      </c>
      <c r="M56" s="188">
        <v>2.4463859020310634</v>
      </c>
      <c r="N56" s="189">
        <f t="shared" si="8"/>
        <v>-0.10023299631197302</v>
      </c>
    </row>
    <row r="57" spans="1:15" x14ac:dyDescent="0.25">
      <c r="A57" s="1"/>
      <c r="B57" s="118" t="s">
        <v>81</v>
      </c>
      <c r="C57" s="188" t="s">
        <v>229</v>
      </c>
      <c r="D57" s="189" t="s">
        <v>229</v>
      </c>
      <c r="E57" s="188">
        <v>1.9248753857108949</v>
      </c>
      <c r="F57" s="189" t="str">
        <f t="shared" si="6"/>
        <v>-</v>
      </c>
      <c r="G57" s="188">
        <v>2.4652253909843607</v>
      </c>
      <c r="H57" s="189">
        <f t="shared" si="6"/>
        <v>0.54035000527346577</v>
      </c>
      <c r="I57" s="188">
        <v>2.3221131369798971</v>
      </c>
      <c r="J57" s="189">
        <f t="shared" si="6"/>
        <v>-0.14311225400446359</v>
      </c>
      <c r="K57" s="188">
        <v>2.2173870526109916</v>
      </c>
      <c r="L57" s="189">
        <f t="shared" si="7"/>
        <v>-0.10472608436890551</v>
      </c>
      <c r="M57" s="188">
        <v>2.0691586350612137</v>
      </c>
      <c r="N57" s="189">
        <f t="shared" si="8"/>
        <v>-0.14822841754977789</v>
      </c>
    </row>
    <row r="58" spans="1:15" x14ac:dyDescent="0.25">
      <c r="A58" s="1"/>
      <c r="B58" s="118" t="s">
        <v>83</v>
      </c>
      <c r="C58" s="188" t="s">
        <v>229</v>
      </c>
      <c r="D58" s="189" t="s">
        <v>229</v>
      </c>
      <c r="E58" s="188">
        <v>1.9697433096668486</v>
      </c>
      <c r="F58" s="189" t="str">
        <f t="shared" si="6"/>
        <v>-</v>
      </c>
      <c r="G58" s="188">
        <v>2.4094270781974165</v>
      </c>
      <c r="H58" s="189">
        <f t="shared" si="6"/>
        <v>0.4396837685305679</v>
      </c>
      <c r="I58" s="188">
        <v>2.2037364798426746</v>
      </c>
      <c r="J58" s="189">
        <f t="shared" si="6"/>
        <v>-0.2056905983547419</v>
      </c>
      <c r="K58" s="188">
        <v>2.1963106971697259</v>
      </c>
      <c r="L58" s="189">
        <f t="shared" si="7"/>
        <v>-7.4257826729486887E-3</v>
      </c>
      <c r="M58" s="188">
        <v>2.0636521739130433</v>
      </c>
      <c r="N58" s="189">
        <f t="shared" si="8"/>
        <v>-0.13265852325668259</v>
      </c>
    </row>
    <row r="59" spans="1:15" x14ac:dyDescent="0.25">
      <c r="A59" s="1"/>
      <c r="B59" s="118" t="s">
        <v>85</v>
      </c>
      <c r="C59" s="188" t="s">
        <v>229</v>
      </c>
      <c r="D59" s="189" t="s">
        <v>229</v>
      </c>
      <c r="E59" s="188">
        <v>2.2148355493351994</v>
      </c>
      <c r="F59" s="189" t="str">
        <f t="shared" si="6"/>
        <v>-</v>
      </c>
      <c r="G59" s="188">
        <v>2.5594205572983943</v>
      </c>
      <c r="H59" s="189">
        <f t="shared" si="6"/>
        <v>0.34458500796319491</v>
      </c>
      <c r="I59" s="188">
        <v>2.604031533779064</v>
      </c>
      <c r="J59" s="189">
        <f t="shared" si="6"/>
        <v>4.4610976480669695E-2</v>
      </c>
      <c r="K59" s="188">
        <v>2.2843620744511615</v>
      </c>
      <c r="L59" s="189">
        <f t="shared" si="7"/>
        <v>-0.31966945932790258</v>
      </c>
      <c r="M59" s="188"/>
      <c r="N59" s="189"/>
    </row>
    <row r="60" spans="1:15" x14ac:dyDescent="0.25">
      <c r="A60" s="1"/>
      <c r="B60" s="118" t="s">
        <v>87</v>
      </c>
      <c r="C60" s="188">
        <v>2.3061282123693871</v>
      </c>
      <c r="D60" s="189">
        <v>-1.0387984472404721</v>
      </c>
      <c r="E60" s="188">
        <v>2.7658452598730228</v>
      </c>
      <c r="F60" s="189">
        <f t="shared" si="6"/>
        <v>0.45971704750363562</v>
      </c>
      <c r="G60" s="188">
        <v>3.04468764249886</v>
      </c>
      <c r="H60" s="189">
        <f t="shared" si="6"/>
        <v>0.27884238262583727</v>
      </c>
      <c r="I60" s="188">
        <v>3.0982964765633265</v>
      </c>
      <c r="J60" s="189">
        <f t="shared" si="6"/>
        <v>5.3608834064466482E-2</v>
      </c>
      <c r="K60" s="188">
        <v>3.2368137782561894</v>
      </c>
      <c r="L60" s="189">
        <f t="shared" si="7"/>
        <v>0.13851730169286292</v>
      </c>
      <c r="M60" s="188"/>
      <c r="N60" s="189"/>
    </row>
    <row r="61" spans="1:15" x14ac:dyDescent="0.25">
      <c r="A61" s="1"/>
      <c r="B61" s="118" t="s">
        <v>89</v>
      </c>
      <c r="C61" s="188">
        <v>1.9505984211866565</v>
      </c>
      <c r="D61" s="189">
        <v>-0.4226591936816968</v>
      </c>
      <c r="E61" s="188">
        <v>2.3052071455720258</v>
      </c>
      <c r="F61" s="189">
        <f t="shared" si="6"/>
        <v>0.35460872438536928</v>
      </c>
      <c r="G61" s="188">
        <v>2.1439809086088033</v>
      </c>
      <c r="H61" s="189">
        <f t="shared" si="6"/>
        <v>-0.16122623696322247</v>
      </c>
      <c r="I61" s="188">
        <v>2.7898680738786279</v>
      </c>
      <c r="J61" s="189">
        <f t="shared" si="6"/>
        <v>0.64588716526982459</v>
      </c>
      <c r="K61" s="188">
        <v>2.3288418350978506</v>
      </c>
      <c r="L61" s="189">
        <f t="shared" si="7"/>
        <v>-0.46102623878077731</v>
      </c>
      <c r="M61" s="188"/>
      <c r="N61" s="189"/>
    </row>
    <row r="62" spans="1:15" x14ac:dyDescent="0.25">
      <c r="A62" s="1"/>
      <c r="B62" s="118" t="s">
        <v>91</v>
      </c>
      <c r="C62" s="188">
        <v>1.797002997002997</v>
      </c>
      <c r="D62" s="189">
        <v>-0.4582998676372827</v>
      </c>
      <c r="E62" s="188">
        <v>2.2930118188308084</v>
      </c>
      <c r="F62" s="189">
        <f t="shared" si="6"/>
        <v>0.49600882182781136</v>
      </c>
      <c r="G62" s="188">
        <v>2.1939564867042707</v>
      </c>
      <c r="H62" s="189">
        <f t="shared" si="6"/>
        <v>-9.9055332126537721E-2</v>
      </c>
      <c r="I62" s="188">
        <v>2.3949275362318843</v>
      </c>
      <c r="J62" s="189">
        <f t="shared" si="6"/>
        <v>0.20097104952761358</v>
      </c>
      <c r="K62" s="188">
        <v>2.3148834336884359</v>
      </c>
      <c r="L62" s="189">
        <f t="shared" si="7"/>
        <v>-8.0044102543448403E-2</v>
      </c>
      <c r="M62" s="188"/>
      <c r="N62" s="189"/>
    </row>
    <row r="63" spans="1:15" x14ac:dyDescent="0.25">
      <c r="A63" s="1"/>
      <c r="B63" s="118" t="s">
        <v>93</v>
      </c>
      <c r="C63" s="188">
        <v>1.7940783615316118</v>
      </c>
      <c r="D63" s="189">
        <v>-0.48813458580876667</v>
      </c>
      <c r="E63" s="188">
        <v>2.2350271608333907</v>
      </c>
      <c r="F63" s="189">
        <f t="shared" si="6"/>
        <v>0.44094879930177888</v>
      </c>
      <c r="G63" s="188">
        <v>2.2719651012200939</v>
      </c>
      <c r="H63" s="189">
        <f t="shared" si="6"/>
        <v>3.6937940386703172E-2</v>
      </c>
      <c r="I63" s="188">
        <v>2.2942457436980335</v>
      </c>
      <c r="J63" s="189">
        <f t="shared" si="6"/>
        <v>2.2280642477939594E-2</v>
      </c>
      <c r="K63" s="188">
        <v>2.2874057456222348</v>
      </c>
      <c r="L63" s="189">
        <f t="shared" si="7"/>
        <v>-6.8399980757987144E-3</v>
      </c>
      <c r="M63" s="188"/>
      <c r="N63" s="189"/>
    </row>
    <row r="64" spans="1:15" x14ac:dyDescent="0.25">
      <c r="A64" s="1"/>
      <c r="B64" s="118" t="s">
        <v>95</v>
      </c>
      <c r="C64" s="188">
        <v>1.9831704668838219</v>
      </c>
      <c r="D64" s="189">
        <v>-0.46633829438428287</v>
      </c>
      <c r="E64" s="188">
        <v>2.718375799045647</v>
      </c>
      <c r="F64" s="189">
        <f t="shared" si="6"/>
        <v>0.73520533216182504</v>
      </c>
      <c r="G64" s="188">
        <v>2.2874622245153682</v>
      </c>
      <c r="H64" s="189">
        <f t="shared" si="6"/>
        <v>-0.43091357453027879</v>
      </c>
      <c r="I64" s="188">
        <v>2.485259025479178</v>
      </c>
      <c r="J64" s="189">
        <f t="shared" si="6"/>
        <v>0.1977968009638098</v>
      </c>
      <c r="K64" s="188">
        <v>2.4197963287280273</v>
      </c>
      <c r="L64" s="189">
        <f t="shared" si="7"/>
        <v>-6.5462696751150684E-2</v>
      </c>
      <c r="M64" s="188"/>
      <c r="N64" s="189"/>
    </row>
    <row r="65" spans="1:15" ht="15.75" x14ac:dyDescent="0.25">
      <c r="B65" s="121" t="s">
        <v>32</v>
      </c>
      <c r="C65" s="190">
        <v>2.1365079944513399</v>
      </c>
      <c r="D65" s="191">
        <v>-0.27876612400248035</v>
      </c>
      <c r="E65" s="190">
        <v>2.2816385607709044</v>
      </c>
      <c r="F65" s="191">
        <f t="shared" si="6"/>
        <v>0.14513056631956456</v>
      </c>
      <c r="G65" s="190">
        <v>2.4676964118587734</v>
      </c>
      <c r="H65" s="191">
        <f t="shared" si="6"/>
        <v>0.18605785108786899</v>
      </c>
      <c r="I65" s="190">
        <v>2.4542389639995332</v>
      </c>
      <c r="J65" s="191">
        <f t="shared" si="6"/>
        <v>-1.345744785924019E-2</v>
      </c>
      <c r="K65" s="190">
        <v>2.4544757219279627</v>
      </c>
      <c r="L65" s="191">
        <f t="shared" si="7"/>
        <v>2.3675792842947629E-4</v>
      </c>
      <c r="M65" s="190">
        <v>2.2777026142364596</v>
      </c>
      <c r="N65" s="191">
        <v>-0.19693141769002942</v>
      </c>
    </row>
    <row r="66" spans="1:15" ht="6" customHeight="1" x14ac:dyDescent="0.25"/>
    <row r="67" spans="1:15" x14ac:dyDescent="0.25">
      <c r="B67" s="107" t="s">
        <v>57</v>
      </c>
      <c r="C67" s="194"/>
      <c r="D67" s="194"/>
      <c r="E67" s="194"/>
      <c r="F67" s="194"/>
      <c r="G67" s="194"/>
      <c r="H67" s="194"/>
      <c r="I67" s="194"/>
      <c r="J67" s="194"/>
      <c r="K67" s="194"/>
      <c r="L67" s="194"/>
      <c r="M67" s="194"/>
      <c r="N67" s="194"/>
    </row>
    <row r="70" spans="1:15" ht="48.75" customHeight="1" thickBot="1" x14ac:dyDescent="0.3">
      <c r="B70" s="278" t="s">
        <v>299</v>
      </c>
      <c r="C70" s="278"/>
      <c r="D70" s="278"/>
      <c r="E70" s="278"/>
      <c r="F70" s="278"/>
      <c r="G70" s="278"/>
      <c r="H70" s="278"/>
      <c r="I70" s="278"/>
      <c r="J70" s="278"/>
      <c r="K70" s="278"/>
      <c r="L70" s="278"/>
      <c r="M70" s="278"/>
      <c r="N70" s="278"/>
      <c r="O70" s="1" t="s">
        <v>103</v>
      </c>
    </row>
    <row r="71" spans="1:15" ht="10.5" customHeight="1" thickBot="1" x14ac:dyDescent="0.3">
      <c r="B71" s="108"/>
      <c r="C71" s="192"/>
      <c r="D71" s="192"/>
      <c r="E71" s="192"/>
      <c r="F71" s="192"/>
      <c r="G71" s="192"/>
      <c r="H71" s="192"/>
      <c r="I71" s="192"/>
      <c r="J71" s="192"/>
      <c r="K71" s="192"/>
      <c r="L71" s="192"/>
      <c r="M71" s="39"/>
      <c r="N71" s="39"/>
      <c r="O71" s="1" t="s">
        <v>104</v>
      </c>
    </row>
    <row r="72" spans="1:15" ht="22.5" thickTop="1" thickBot="1" x14ac:dyDescent="0.3">
      <c r="B72" s="111"/>
      <c r="C72" s="313" t="s">
        <v>64</v>
      </c>
      <c r="D72" s="314"/>
      <c r="E72" s="314"/>
      <c r="F72" s="314"/>
      <c r="G72" s="314"/>
      <c r="H72" s="314"/>
      <c r="I72" s="314"/>
      <c r="J72" s="314"/>
      <c r="K72" s="314"/>
      <c r="L72" s="314"/>
      <c r="M72" s="314"/>
      <c r="N72" s="314"/>
    </row>
    <row r="73" spans="1:15" ht="22.5" thickTop="1" thickBot="1" x14ac:dyDescent="0.3">
      <c r="B73" s="111"/>
      <c r="C73" s="305">
        <v>2020</v>
      </c>
      <c r="D73" s="306"/>
      <c r="E73" s="307">
        <v>2021</v>
      </c>
      <c r="F73" s="306"/>
      <c r="G73" s="307">
        <v>2022</v>
      </c>
      <c r="H73" s="306"/>
      <c r="I73" s="307">
        <v>2023</v>
      </c>
      <c r="J73" s="306"/>
      <c r="K73" s="307">
        <v>2024</v>
      </c>
      <c r="L73" s="306"/>
      <c r="M73" s="307">
        <f>M$7</f>
        <v>2025</v>
      </c>
      <c r="N73" s="308"/>
    </row>
    <row r="74" spans="1:15" ht="16.5" thickTop="1" thickBot="1" x14ac:dyDescent="0.3">
      <c r="B74" s="87"/>
      <c r="C74" s="115" t="s">
        <v>71</v>
      </c>
      <c r="D74" s="116" t="str">
        <f>CONCATENATE("dif ",RIGHT(C73,2),"/",RIGHT(C73-1,2))</f>
        <v>dif 20/19</v>
      </c>
      <c r="E74" s="117" t="s">
        <v>71</v>
      </c>
      <c r="F74" s="116" t="str">
        <f>CONCATENATE("dif ",RIGHT(E73,2),"/",RIGHT(C73,2))</f>
        <v>dif 21/20</v>
      </c>
      <c r="G74" s="117" t="s">
        <v>71</v>
      </c>
      <c r="H74" s="116" t="str">
        <f>CONCATENATE("dif ",RIGHT(G73,2),"/",RIGHT(E73,2))</f>
        <v>dif 22/21</v>
      </c>
      <c r="I74" s="117" t="s">
        <v>71</v>
      </c>
      <c r="J74" s="116" t="str">
        <f>CONCATENATE("dif ",RIGHT(I73,2),"/",RIGHT(G73,2))</f>
        <v>dif 23/22</v>
      </c>
      <c r="K74" s="117" t="s">
        <v>71</v>
      </c>
      <c r="L74" s="116" t="str">
        <f>CONCATENATE("dif ",RIGHT(K73,2),"/",RIGHT(I73,2))</f>
        <v>dif 24/23</v>
      </c>
      <c r="M74" s="117" t="s">
        <v>71</v>
      </c>
      <c r="N74" s="116" t="str">
        <f>CONCATENATE("def ",RIGHT(M73,2),"/",RIGHT(K73,2))</f>
        <v>def 25/24</v>
      </c>
    </row>
    <row r="75" spans="1:15" x14ac:dyDescent="0.25">
      <c r="A75" s="1"/>
      <c r="B75" s="118" t="s">
        <v>73</v>
      </c>
      <c r="C75" s="188">
        <v>2.0836476801207091</v>
      </c>
      <c r="D75" s="189">
        <v>-0.33440264075124748</v>
      </c>
      <c r="E75" s="188">
        <v>1.9102351772109971</v>
      </c>
      <c r="F75" s="189">
        <f t="shared" ref="F75:J87" si="9">IFERROR(E75-C75,"-")</f>
        <v>-0.173412502909712</v>
      </c>
      <c r="G75" s="188">
        <v>2.5154440154440154</v>
      </c>
      <c r="H75" s="189">
        <f t="shared" si="9"/>
        <v>0.6052088382330183</v>
      </c>
      <c r="I75" s="188">
        <v>2.5057291666666668</v>
      </c>
      <c r="J75" s="189">
        <f t="shared" si="9"/>
        <v>-9.7148487773486281E-3</v>
      </c>
      <c r="K75" s="188">
        <v>2.5538703959030924</v>
      </c>
      <c r="L75" s="189">
        <f t="shared" ref="L75:L87" si="10">IFERROR(K75-I75,"-")</f>
        <v>4.8141229236425609E-2</v>
      </c>
      <c r="M75" s="188">
        <v>1.9082215871620136</v>
      </c>
      <c r="N75" s="189">
        <f>IFERROR(M75-K75,"-")</f>
        <v>-0.64564880874107877</v>
      </c>
    </row>
    <row r="76" spans="1:15" x14ac:dyDescent="0.25">
      <c r="A76" s="1"/>
      <c r="B76" s="118" t="s">
        <v>75</v>
      </c>
      <c r="C76" s="188">
        <v>2.1319685305811693</v>
      </c>
      <c r="D76" s="189">
        <v>-2.502904811132467E-2</v>
      </c>
      <c r="E76" s="188">
        <v>1.8167627281460135</v>
      </c>
      <c r="F76" s="189">
        <f t="shared" si="9"/>
        <v>-0.31520580243515584</v>
      </c>
      <c r="G76" s="188">
        <v>2.2815777116919707</v>
      </c>
      <c r="H76" s="189">
        <f t="shared" si="9"/>
        <v>0.46481498354595718</v>
      </c>
      <c r="I76" s="188">
        <v>2.1584302325581395</v>
      </c>
      <c r="J76" s="189">
        <f t="shared" si="9"/>
        <v>-0.12314747913383117</v>
      </c>
      <c r="K76" s="188">
        <v>2.3327036104114192</v>
      </c>
      <c r="L76" s="189">
        <f t="shared" si="10"/>
        <v>0.17427337785327968</v>
      </c>
      <c r="M76" s="188">
        <v>1.7788253142609449</v>
      </c>
      <c r="N76" s="189">
        <f t="shared" ref="N76:N80" si="11">IFERROR(M76-K76,"-")</f>
        <v>-0.55387829615047424</v>
      </c>
    </row>
    <row r="77" spans="1:15" x14ac:dyDescent="0.25">
      <c r="A77" s="1"/>
      <c r="B77" s="118" t="s">
        <v>77</v>
      </c>
      <c r="C77" s="188">
        <v>2.2098646034816247</v>
      </c>
      <c r="D77" s="189">
        <v>5.0453263731911058E-3</v>
      </c>
      <c r="E77" s="188">
        <v>1.9035728786033292</v>
      </c>
      <c r="F77" s="189">
        <f t="shared" si="9"/>
        <v>-0.30629172487829548</v>
      </c>
      <c r="G77" s="188">
        <v>2.1930087051142548</v>
      </c>
      <c r="H77" s="189">
        <f t="shared" si="9"/>
        <v>0.28943582651092559</v>
      </c>
      <c r="I77" s="188">
        <v>2.374388661543068</v>
      </c>
      <c r="J77" s="189">
        <f t="shared" si="9"/>
        <v>0.18137995642881322</v>
      </c>
      <c r="K77" s="188">
        <v>2.5770098441345364</v>
      </c>
      <c r="L77" s="189">
        <f t="shared" si="10"/>
        <v>0.20262118259146833</v>
      </c>
      <c r="M77" s="188">
        <v>1.8978652155713687</v>
      </c>
      <c r="N77" s="189">
        <f t="shared" si="11"/>
        <v>-0.67914462856316771</v>
      </c>
    </row>
    <row r="78" spans="1:15" x14ac:dyDescent="0.25">
      <c r="A78" s="1"/>
      <c r="B78" s="118" t="s">
        <v>79</v>
      </c>
      <c r="C78" s="188" t="s">
        <v>229</v>
      </c>
      <c r="D78" s="189" t="s">
        <v>229</v>
      </c>
      <c r="E78" s="188">
        <v>1.9509331727874775</v>
      </c>
      <c r="F78" s="189" t="str">
        <f t="shared" si="9"/>
        <v>-</v>
      </c>
      <c r="G78" s="188">
        <v>2.3559378101223949</v>
      </c>
      <c r="H78" s="189">
        <f t="shared" si="9"/>
        <v>0.40500463733491743</v>
      </c>
      <c r="I78" s="188">
        <v>2.0755274828652062</v>
      </c>
      <c r="J78" s="189">
        <f t="shared" si="9"/>
        <v>-0.28041032725718873</v>
      </c>
      <c r="K78" s="188">
        <v>2.250762970498474</v>
      </c>
      <c r="L78" s="189">
        <f t="shared" si="10"/>
        <v>0.17523548763326779</v>
      </c>
      <c r="M78" s="188">
        <v>1.9237776289350301</v>
      </c>
      <c r="N78" s="189">
        <f t="shared" si="11"/>
        <v>-0.32698534156344383</v>
      </c>
    </row>
    <row r="79" spans="1:15" x14ac:dyDescent="0.25">
      <c r="A79" s="1"/>
      <c r="B79" s="118" t="s">
        <v>81</v>
      </c>
      <c r="C79" s="188" t="s">
        <v>229</v>
      </c>
      <c r="D79" s="189" t="s">
        <v>229</v>
      </c>
      <c r="E79" s="188">
        <v>1.8951201747997086</v>
      </c>
      <c r="F79" s="189" t="str">
        <f t="shared" si="9"/>
        <v>-</v>
      </c>
      <c r="G79" s="188">
        <v>2.460375816993464</v>
      </c>
      <c r="H79" s="189">
        <f t="shared" si="9"/>
        <v>0.56525564219375535</v>
      </c>
      <c r="I79" s="188">
        <v>2.4736988588922904</v>
      </c>
      <c r="J79" s="189">
        <f t="shared" si="9"/>
        <v>1.3323041898826382E-2</v>
      </c>
      <c r="K79" s="188">
        <v>2.1684458616387077</v>
      </c>
      <c r="L79" s="189">
        <f t="shared" si="10"/>
        <v>-0.30525299725358268</v>
      </c>
      <c r="M79" s="188">
        <v>1.9008810572687225</v>
      </c>
      <c r="N79" s="189">
        <f t="shared" si="11"/>
        <v>-0.2675648043699852</v>
      </c>
    </row>
    <row r="80" spans="1:15" x14ac:dyDescent="0.25">
      <c r="A80" s="1"/>
      <c r="B80" s="118" t="s">
        <v>83</v>
      </c>
      <c r="C80" s="188" t="s">
        <v>229</v>
      </c>
      <c r="D80" s="189" t="s">
        <v>229</v>
      </c>
      <c r="E80" s="188">
        <v>1.997720018239854</v>
      </c>
      <c r="F80" s="189" t="str">
        <f t="shared" si="9"/>
        <v>-</v>
      </c>
      <c r="G80" s="188">
        <v>2.1475826972010177</v>
      </c>
      <c r="H80" s="189">
        <f t="shared" si="9"/>
        <v>0.14986267896116368</v>
      </c>
      <c r="I80" s="188">
        <v>2.0769230769230771</v>
      </c>
      <c r="J80" s="189">
        <f t="shared" si="9"/>
        <v>-7.0659620277940594E-2</v>
      </c>
      <c r="K80" s="188">
        <v>1.8747030878859858</v>
      </c>
      <c r="L80" s="189">
        <f t="shared" si="10"/>
        <v>-0.20221998903709126</v>
      </c>
      <c r="M80" s="188">
        <v>1.9747614650661742</v>
      </c>
      <c r="N80" s="189">
        <f t="shared" si="11"/>
        <v>0.1000583771801884</v>
      </c>
    </row>
    <row r="81" spans="1:14" x14ac:dyDescent="0.25">
      <c r="A81" s="1"/>
      <c r="B81" s="118" t="s">
        <v>85</v>
      </c>
      <c r="C81" s="188" t="s">
        <v>229</v>
      </c>
      <c r="D81" s="189" t="s">
        <v>229</v>
      </c>
      <c r="E81" s="188">
        <v>2.0634812286689419</v>
      </c>
      <c r="F81" s="189" t="str">
        <f t="shared" si="9"/>
        <v>-</v>
      </c>
      <c r="G81" s="188">
        <v>2.1458937198067631</v>
      </c>
      <c r="H81" s="189">
        <f t="shared" si="9"/>
        <v>8.2412491137821231E-2</v>
      </c>
      <c r="I81" s="188">
        <v>2.1081160701134189</v>
      </c>
      <c r="J81" s="189">
        <f t="shared" si="9"/>
        <v>-3.7777649693344184E-2</v>
      </c>
      <c r="K81" s="188">
        <v>1.8237306843267109</v>
      </c>
      <c r="L81" s="189">
        <f t="shared" si="10"/>
        <v>-0.28438538578670802</v>
      </c>
      <c r="M81" s="188"/>
      <c r="N81" s="189"/>
    </row>
    <row r="82" spans="1:14" x14ac:dyDescent="0.25">
      <c r="A82" s="1"/>
      <c r="B82" s="118" t="s">
        <v>87</v>
      </c>
      <c r="C82" s="188">
        <v>2.1820710973724884</v>
      </c>
      <c r="D82" s="189">
        <v>-0.12907096390884876</v>
      </c>
      <c r="E82" s="188">
        <v>2.2556131260794472</v>
      </c>
      <c r="F82" s="189">
        <f t="shared" si="9"/>
        <v>7.3542028706958806E-2</v>
      </c>
      <c r="G82" s="188">
        <v>2.2209543568464731</v>
      </c>
      <c r="H82" s="189">
        <f t="shared" si="9"/>
        <v>-3.4658769232974063E-2</v>
      </c>
      <c r="I82" s="188">
        <v>2.5425839047275351</v>
      </c>
      <c r="J82" s="189">
        <f t="shared" si="9"/>
        <v>0.32162954788106202</v>
      </c>
      <c r="K82" s="188">
        <v>2.1189308069700559</v>
      </c>
      <c r="L82" s="189">
        <f t="shared" si="10"/>
        <v>-0.42365309775747928</v>
      </c>
      <c r="M82" s="188"/>
      <c r="N82" s="189"/>
    </row>
    <row r="83" spans="1:14" x14ac:dyDescent="0.25">
      <c r="A83" s="1"/>
      <c r="B83" s="118" t="s">
        <v>89</v>
      </c>
      <c r="C83" s="188">
        <v>1.9568077803203661</v>
      </c>
      <c r="D83" s="189">
        <v>-0.2366662614069508</v>
      </c>
      <c r="E83" s="188">
        <v>2.0073962010421922</v>
      </c>
      <c r="F83" s="189">
        <f t="shared" si="9"/>
        <v>5.0588420721826122E-2</v>
      </c>
      <c r="G83" s="188">
        <v>2.0783111625216888</v>
      </c>
      <c r="H83" s="189">
        <f t="shared" si="9"/>
        <v>7.0914961479496608E-2</v>
      </c>
      <c r="I83" s="188">
        <v>2.1240322081139671</v>
      </c>
      <c r="J83" s="189">
        <f t="shared" si="9"/>
        <v>4.5721045592278298E-2</v>
      </c>
      <c r="K83" s="188">
        <v>1.9859333239555492</v>
      </c>
      <c r="L83" s="189">
        <f t="shared" si="10"/>
        <v>-0.13809888415841787</v>
      </c>
      <c r="M83" s="188"/>
      <c r="N83" s="189"/>
    </row>
    <row r="84" spans="1:14" x14ac:dyDescent="0.25">
      <c r="A84" s="1"/>
      <c r="B84" s="118" t="s">
        <v>91</v>
      </c>
      <c r="C84" s="188">
        <v>1.9366410435592825</v>
      </c>
      <c r="D84" s="189">
        <v>-0.10816013155350723</v>
      </c>
      <c r="E84" s="188">
        <v>1.9506606691031769</v>
      </c>
      <c r="F84" s="189">
        <f t="shared" si="9"/>
        <v>1.4019625543894465E-2</v>
      </c>
      <c r="G84" s="188">
        <v>2.2074144087376601</v>
      </c>
      <c r="H84" s="189">
        <f t="shared" si="9"/>
        <v>0.25675373963448322</v>
      </c>
      <c r="I84" s="188">
        <v>2.4078617596623135</v>
      </c>
      <c r="J84" s="189">
        <f t="shared" si="9"/>
        <v>0.20044735092465338</v>
      </c>
      <c r="K84" s="188">
        <v>2.0581231395895347</v>
      </c>
      <c r="L84" s="189">
        <f t="shared" si="10"/>
        <v>-0.34973862007277878</v>
      </c>
      <c r="M84" s="188"/>
      <c r="N84" s="189"/>
    </row>
    <row r="85" spans="1:14" x14ac:dyDescent="0.25">
      <c r="A85" s="1"/>
      <c r="B85" s="118" t="s">
        <v>93</v>
      </c>
      <c r="C85" s="188">
        <v>1.8682170542635659</v>
      </c>
      <c r="D85" s="189">
        <v>-0.23711679070957303</v>
      </c>
      <c r="E85" s="188">
        <v>2.0302549713309745</v>
      </c>
      <c r="F85" s="189">
        <f t="shared" si="9"/>
        <v>0.16203791706740867</v>
      </c>
      <c r="G85" s="188">
        <v>2.1468809073724007</v>
      </c>
      <c r="H85" s="189">
        <f t="shared" si="9"/>
        <v>0.11662593604142613</v>
      </c>
      <c r="I85" s="188">
        <v>2.4931281569364501</v>
      </c>
      <c r="J85" s="189">
        <f t="shared" si="9"/>
        <v>0.3462472495640494</v>
      </c>
      <c r="K85" s="188">
        <v>1.8215313122372205</v>
      </c>
      <c r="L85" s="189">
        <f t="shared" si="10"/>
        <v>-0.67159684469922953</v>
      </c>
      <c r="M85" s="188"/>
      <c r="N85" s="189"/>
    </row>
    <row r="86" spans="1:14" x14ac:dyDescent="0.25">
      <c r="A86" s="1"/>
      <c r="B86" s="118" t="s">
        <v>95</v>
      </c>
      <c r="C86" s="188">
        <v>1.9035997559487492</v>
      </c>
      <c r="D86" s="189">
        <v>-0.33739571916437283</v>
      </c>
      <c r="E86" s="188">
        <v>2.3342264842758427</v>
      </c>
      <c r="F86" s="189">
        <f t="shared" si="9"/>
        <v>0.43062672832709348</v>
      </c>
      <c r="G86" s="188">
        <v>2.214271975379881</v>
      </c>
      <c r="H86" s="189">
        <f t="shared" si="9"/>
        <v>-0.11995450889596171</v>
      </c>
      <c r="I86" s="188">
        <v>2.7471658317954124</v>
      </c>
      <c r="J86" s="189">
        <f t="shared" si="9"/>
        <v>0.53289385641553144</v>
      </c>
      <c r="K86" s="188">
        <v>1.9440946591402519</v>
      </c>
      <c r="L86" s="189">
        <f t="shared" si="10"/>
        <v>-0.80307117265516048</v>
      </c>
      <c r="M86" s="188"/>
      <c r="N86" s="189"/>
    </row>
    <row r="87" spans="1:14" ht="15.75" x14ac:dyDescent="0.25">
      <c r="B87" s="121" t="s">
        <v>32</v>
      </c>
      <c r="C87" s="190">
        <v>2.044368740765063</v>
      </c>
      <c r="D87" s="191">
        <v>-0.10695395262010132</v>
      </c>
      <c r="E87" s="190">
        <v>2.0270737515086279</v>
      </c>
      <c r="F87" s="191">
        <f t="shared" si="9"/>
        <v>-1.7294989256435134E-2</v>
      </c>
      <c r="G87" s="190">
        <v>2.233020099749556</v>
      </c>
      <c r="H87" s="191">
        <f t="shared" si="9"/>
        <v>0.20594634824092806</v>
      </c>
      <c r="I87" s="190">
        <v>2.3433113659705582</v>
      </c>
      <c r="J87" s="191">
        <f t="shared" si="9"/>
        <v>0.11029126622100227</v>
      </c>
      <c r="K87" s="190">
        <v>2.1385131066597087</v>
      </c>
      <c r="L87" s="191">
        <f t="shared" si="10"/>
        <v>-0.2047982593108495</v>
      </c>
      <c r="M87" s="190">
        <v>1.8919749944002118</v>
      </c>
      <c r="N87" s="191">
        <v>-0.42075289662773008</v>
      </c>
    </row>
    <row r="88" spans="1:14" ht="6" customHeight="1" x14ac:dyDescent="0.25"/>
    <row r="89" spans="1:14" x14ac:dyDescent="0.25">
      <c r="B89" s="107" t="s">
        <v>57</v>
      </c>
      <c r="C89" s="194"/>
      <c r="D89" s="194"/>
      <c r="E89" s="194"/>
      <c r="F89" s="194"/>
      <c r="G89" s="194"/>
      <c r="H89" s="194"/>
      <c r="I89" s="194"/>
      <c r="J89" s="194"/>
      <c r="K89" s="194"/>
      <c r="L89" s="194"/>
      <c r="M89" s="194"/>
      <c r="N89" s="194"/>
    </row>
  </sheetData>
  <mergeCells count="32">
    <mergeCell ref="B70:N70"/>
    <mergeCell ref="C72:N72"/>
    <mergeCell ref="C73:D73"/>
    <mergeCell ref="E73:F73"/>
    <mergeCell ref="G73:H73"/>
    <mergeCell ref="I73:J73"/>
    <mergeCell ref="K73:L73"/>
    <mergeCell ref="M73:N73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4:N4"/>
    <mergeCell ref="C6:N6"/>
    <mergeCell ref="C7:D7"/>
    <mergeCell ref="E7:F7"/>
    <mergeCell ref="G7:H7"/>
    <mergeCell ref="I7:J7"/>
    <mergeCell ref="K7:L7"/>
    <mergeCell ref="M7:N7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E4D5E0-3ECB-4274-A64E-0B903AE347E9}">
  <sheetPr>
    <tabColor rgb="FF7030A0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EF561-C211-4834-8147-5108677653E3}">
  <sheetPr>
    <tabColor rgb="FFAC75D5"/>
  </sheetPr>
  <dimension ref="A1:AC89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3" max="3" width="15.85546875" bestFit="1" customWidth="1"/>
    <col min="13" max="13" width="14.7109375" bestFit="1" customWidth="1"/>
    <col min="15" max="15" width="14.85546875" customWidth="1"/>
  </cols>
  <sheetData>
    <row r="1" spans="1:16" ht="18.75" x14ac:dyDescent="0.3">
      <c r="C1" s="81"/>
      <c r="D1" s="196"/>
    </row>
    <row r="2" spans="1:16" ht="18.75" x14ac:dyDescent="0.3">
      <c r="D2" s="196"/>
    </row>
    <row r="4" spans="1:16" ht="48.75" customHeight="1" thickBot="1" x14ac:dyDescent="0.3">
      <c r="B4" s="278" t="s">
        <v>300</v>
      </c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P4" s="1" t="s">
        <v>152</v>
      </c>
    </row>
    <row r="5" spans="1:16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P5" s="1" t="s">
        <v>153</v>
      </c>
    </row>
    <row r="6" spans="1:16" ht="22.5" thickTop="1" thickBot="1" x14ac:dyDescent="0.3">
      <c r="B6" s="111"/>
      <c r="C6" s="303" t="s">
        <v>154</v>
      </c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</row>
    <row r="7" spans="1:16" ht="22.5" thickTop="1" thickBot="1" x14ac:dyDescent="0.3">
      <c r="B7" s="111"/>
      <c r="C7" s="305">
        <v>2020</v>
      </c>
      <c r="D7" s="306"/>
      <c r="E7" s="307">
        <v>2021</v>
      </c>
      <c r="F7" s="306"/>
      <c r="G7" s="307">
        <v>2022</v>
      </c>
      <c r="H7" s="306"/>
      <c r="I7" s="307">
        <v>2023</v>
      </c>
      <c r="J7" s="306"/>
      <c r="K7" s="307">
        <v>2024</v>
      </c>
      <c r="L7" s="306"/>
      <c r="M7" s="307">
        <v>2025</v>
      </c>
      <c r="N7" s="308"/>
    </row>
    <row r="8" spans="1:16" ht="16.5" thickTop="1" thickBot="1" x14ac:dyDescent="0.3">
      <c r="B8" s="87"/>
      <c r="C8" s="115" t="s">
        <v>71</v>
      </c>
      <c r="D8" s="116" t="str">
        <f>CONCATENATE("dif ",RIGHT(C7,2),"/",RIGHT(C7-1,2))</f>
        <v>dif 20/19</v>
      </c>
      <c r="E8" s="117" t="s">
        <v>71</v>
      </c>
      <c r="F8" s="116" t="str">
        <f>CONCATENATE("dif ",RIGHT(E7,2),"/",RIGHT(C7,2))</f>
        <v>dif 21/20</v>
      </c>
      <c r="G8" s="117" t="s">
        <v>71</v>
      </c>
      <c r="H8" s="116" t="str">
        <f>CONCATENATE("dif ",RIGHT(G7,2),"/",RIGHT(E7,2))</f>
        <v>dif 22/21</v>
      </c>
      <c r="I8" s="117" t="s">
        <v>71</v>
      </c>
      <c r="J8" s="116" t="str">
        <f>CONCATENATE("dif ",RIGHT(I7,2),"/",RIGHT(G7,2))</f>
        <v>dif 23/22</v>
      </c>
      <c r="K8" s="117" t="s">
        <v>71</v>
      </c>
      <c r="L8" s="116" t="str">
        <f>CONCATENATE("dif ",RIGHT(K7,2),"/",RIGHT(I7,2))</f>
        <v>dif 24/23</v>
      </c>
      <c r="M8" s="117" t="s">
        <v>71</v>
      </c>
      <c r="N8" s="116" t="str">
        <f>CONCATENATE("var ",RIGHT(M7,2),"/",RIGHT(K7,2))</f>
        <v>var 25/24</v>
      </c>
    </row>
    <row r="9" spans="1:16" x14ac:dyDescent="0.25">
      <c r="A9" s="1" t="s">
        <v>72</v>
      </c>
      <c r="B9" s="118" t="s">
        <v>73</v>
      </c>
      <c r="C9" s="197">
        <v>0.52139999999999997</v>
      </c>
      <c r="D9" s="120">
        <v>-0.11114899420388691</v>
      </c>
      <c r="E9" s="197">
        <v>0.17649999999999999</v>
      </c>
      <c r="F9" s="120">
        <f t="shared" ref="F9:L21" si="0">IFERROR(E9/C9-1,"-")</f>
        <v>-0.66148830072880704</v>
      </c>
      <c r="G9" s="197">
        <v>0.51840000000000008</v>
      </c>
      <c r="H9" s="120">
        <f t="shared" si="0"/>
        <v>1.9371104815864029</v>
      </c>
      <c r="I9" s="197">
        <v>0.67859999999999998</v>
      </c>
      <c r="J9" s="120">
        <f t="shared" si="0"/>
        <v>0.30902777777777746</v>
      </c>
      <c r="K9" s="197">
        <v>0.73069999999999991</v>
      </c>
      <c r="L9" s="120">
        <f t="shared" si="0"/>
        <v>7.6775714706749154E-2</v>
      </c>
      <c r="M9" s="197">
        <v>0.68730000000000002</v>
      </c>
      <c r="N9" s="120">
        <f t="shared" ref="N9:N14" si="1">IFERROR(M9/K9-1,"-")</f>
        <v>-5.9395100588476635E-2</v>
      </c>
    </row>
    <row r="10" spans="1:16" x14ac:dyDescent="0.25">
      <c r="A10" s="1" t="s">
        <v>74</v>
      </c>
      <c r="B10" s="118" t="s">
        <v>75</v>
      </c>
      <c r="C10" s="197">
        <v>0.626</v>
      </c>
      <c r="D10" s="120">
        <v>2.1540469973890364E-2</v>
      </c>
      <c r="E10" s="197">
        <v>0.32640000000000002</v>
      </c>
      <c r="F10" s="120">
        <f t="shared" si="0"/>
        <v>-0.47859424920127791</v>
      </c>
      <c r="G10" s="197">
        <v>0.60040000000000004</v>
      </c>
      <c r="H10" s="120">
        <f t="shared" si="0"/>
        <v>0.83946078431372539</v>
      </c>
      <c r="I10" s="197">
        <v>0.6581999999999999</v>
      </c>
      <c r="J10" s="120">
        <f t="shared" si="0"/>
        <v>9.6269153897401427E-2</v>
      </c>
      <c r="K10" s="197">
        <v>0.69579999999999997</v>
      </c>
      <c r="L10" s="120">
        <f t="shared" si="0"/>
        <v>5.712549377089049E-2</v>
      </c>
      <c r="M10" s="197">
        <v>0.70169999999999999</v>
      </c>
      <c r="N10" s="120">
        <f t="shared" si="1"/>
        <v>8.4794481172751901E-3</v>
      </c>
    </row>
    <row r="11" spans="1:16" x14ac:dyDescent="0.25">
      <c r="A11" s="1" t="s">
        <v>76</v>
      </c>
      <c r="B11" s="118" t="s">
        <v>77</v>
      </c>
      <c r="C11" s="197">
        <v>0.22870000000000001</v>
      </c>
      <c r="D11" s="120">
        <v>-0.60453052049109457</v>
      </c>
      <c r="E11" s="197">
        <v>0.3256</v>
      </c>
      <c r="F11" s="120">
        <f t="shared" si="0"/>
        <v>0.4236991692173151</v>
      </c>
      <c r="G11" s="197">
        <v>0.59799999999999998</v>
      </c>
      <c r="H11" s="120">
        <f t="shared" si="0"/>
        <v>0.83660933660933656</v>
      </c>
      <c r="I11" s="197">
        <v>0.65930000000000011</v>
      </c>
      <c r="J11" s="120">
        <f t="shared" si="0"/>
        <v>0.10250836120401363</v>
      </c>
      <c r="K11" s="197">
        <v>0.68220000000000003</v>
      </c>
      <c r="L11" s="120">
        <f t="shared" si="0"/>
        <v>3.4733808584862524E-2</v>
      </c>
      <c r="M11" s="197">
        <v>0.68340000000000001</v>
      </c>
      <c r="N11" s="120">
        <f t="shared" si="1"/>
        <v>1.7590149516271136E-3</v>
      </c>
    </row>
    <row r="12" spans="1:16" x14ac:dyDescent="0.25">
      <c r="A12" s="1" t="s">
        <v>78</v>
      </c>
      <c r="B12" s="118" t="s">
        <v>79</v>
      </c>
      <c r="C12" s="197">
        <v>0</v>
      </c>
      <c r="D12" s="120">
        <v>-1</v>
      </c>
      <c r="E12" s="197">
        <v>0.27410000000000001</v>
      </c>
      <c r="F12" s="120" t="str">
        <f t="shared" si="0"/>
        <v>-</v>
      </c>
      <c r="G12" s="197">
        <v>0.55030000000000001</v>
      </c>
      <c r="H12" s="120">
        <f t="shared" si="0"/>
        <v>1.0076614374315942</v>
      </c>
      <c r="I12" s="197">
        <v>0.49869999999999998</v>
      </c>
      <c r="J12" s="120">
        <f t="shared" si="0"/>
        <v>-9.3767036162093476E-2</v>
      </c>
      <c r="K12" s="197">
        <v>0.55449999999999999</v>
      </c>
      <c r="L12" s="120">
        <f t="shared" si="0"/>
        <v>0.11189091638259474</v>
      </c>
      <c r="M12" s="197">
        <v>0.58630000000000004</v>
      </c>
      <c r="N12" s="120">
        <f t="shared" si="1"/>
        <v>5.7348963029756561E-2</v>
      </c>
    </row>
    <row r="13" spans="1:16" x14ac:dyDescent="0.25">
      <c r="A13" s="1" t="s">
        <v>80</v>
      </c>
      <c r="B13" s="118" t="s">
        <v>81</v>
      </c>
      <c r="C13" s="197">
        <v>0</v>
      </c>
      <c r="D13" s="120">
        <v>-1</v>
      </c>
      <c r="E13" s="197">
        <v>0.32590000000000002</v>
      </c>
      <c r="F13" s="120" t="str">
        <f t="shared" si="0"/>
        <v>-</v>
      </c>
      <c r="G13" s="197">
        <v>0.53539999999999999</v>
      </c>
      <c r="H13" s="120">
        <f t="shared" si="0"/>
        <v>0.64283522552930328</v>
      </c>
      <c r="I13" s="197">
        <v>0.48149999999999998</v>
      </c>
      <c r="J13" s="120">
        <f t="shared" si="0"/>
        <v>-0.10067239447142329</v>
      </c>
      <c r="K13" s="197">
        <v>0.44569999999999999</v>
      </c>
      <c r="L13" s="120">
        <f t="shared" si="0"/>
        <v>-7.4350986500519189E-2</v>
      </c>
      <c r="M13" s="197">
        <v>0.54890000000000005</v>
      </c>
      <c r="N13" s="120">
        <f t="shared" si="1"/>
        <v>0.23154588288086164</v>
      </c>
    </row>
    <row r="14" spans="1:16" x14ac:dyDescent="0.25">
      <c r="A14" s="1" t="s">
        <v>82</v>
      </c>
      <c r="B14" s="118" t="s">
        <v>83</v>
      </c>
      <c r="C14" s="197">
        <v>0</v>
      </c>
      <c r="D14" s="120">
        <v>-1</v>
      </c>
      <c r="E14" s="197">
        <v>0.37560000000000004</v>
      </c>
      <c r="F14" s="120" t="str">
        <f t="shared" si="0"/>
        <v>-</v>
      </c>
      <c r="G14" s="197">
        <v>0.49780000000000002</v>
      </c>
      <c r="H14" s="120">
        <f t="shared" si="0"/>
        <v>0.32534611288604887</v>
      </c>
      <c r="I14" s="197">
        <v>0.47020000000000001</v>
      </c>
      <c r="J14" s="120">
        <f t="shared" si="0"/>
        <v>-5.5443953394937795E-2</v>
      </c>
      <c r="K14" s="197">
        <v>0.48170000000000002</v>
      </c>
      <c r="L14" s="120">
        <f t="shared" si="0"/>
        <v>2.4457677584006854E-2</v>
      </c>
      <c r="M14" s="197">
        <v>0.52880000000000005</v>
      </c>
      <c r="N14" s="120">
        <f t="shared" si="1"/>
        <v>9.7778700435956045E-2</v>
      </c>
    </row>
    <row r="15" spans="1:16" x14ac:dyDescent="0.25">
      <c r="A15" s="1" t="s">
        <v>84</v>
      </c>
      <c r="B15" s="118" t="s">
        <v>85</v>
      </c>
      <c r="C15" s="197">
        <v>0</v>
      </c>
      <c r="D15" s="120">
        <v>-1</v>
      </c>
      <c r="E15" s="197">
        <v>0.42359999999999998</v>
      </c>
      <c r="F15" s="120" t="str">
        <f t="shared" si="0"/>
        <v>-</v>
      </c>
      <c r="G15" s="197">
        <v>0.52890000000000004</v>
      </c>
      <c r="H15" s="120">
        <f t="shared" si="0"/>
        <v>0.24858356940509929</v>
      </c>
      <c r="I15" s="197">
        <v>0.49259999999999998</v>
      </c>
      <c r="J15" s="120">
        <f t="shared" si="0"/>
        <v>-6.8633011911514608E-2</v>
      </c>
      <c r="K15" s="197">
        <v>0.52629999999999999</v>
      </c>
      <c r="L15" s="120">
        <f t="shared" si="0"/>
        <v>6.8412505075111651E-2</v>
      </c>
      <c r="M15" s="197"/>
      <c r="N15" s="120"/>
    </row>
    <row r="16" spans="1:16" x14ac:dyDescent="0.25">
      <c r="A16" s="1" t="s">
        <v>86</v>
      </c>
      <c r="B16" s="118" t="s">
        <v>87</v>
      </c>
      <c r="C16" s="197">
        <v>0.48630000000000001</v>
      </c>
      <c r="D16" s="120">
        <v>-4.2150876501871215E-2</v>
      </c>
      <c r="E16" s="197">
        <v>0.51919999999999999</v>
      </c>
      <c r="F16" s="120">
        <f t="shared" si="0"/>
        <v>6.7653711700596197E-2</v>
      </c>
      <c r="G16" s="197">
        <v>0.51259999999999994</v>
      </c>
      <c r="H16" s="120">
        <f t="shared" si="0"/>
        <v>-1.2711864406779738E-2</v>
      </c>
      <c r="I16" s="197">
        <v>0.52780000000000005</v>
      </c>
      <c r="J16" s="120">
        <f t="shared" si="0"/>
        <v>2.9652750682793716E-2</v>
      </c>
      <c r="K16" s="197">
        <v>0.52239999999999998</v>
      </c>
      <c r="L16" s="120">
        <f t="shared" si="0"/>
        <v>-1.0231148162182735E-2</v>
      </c>
      <c r="M16" s="197"/>
      <c r="N16" s="120"/>
    </row>
    <row r="17" spans="1:29" x14ac:dyDescent="0.25">
      <c r="A17" s="1" t="s">
        <v>88</v>
      </c>
      <c r="B17" s="118" t="s">
        <v>89</v>
      </c>
      <c r="C17" s="197">
        <v>0.29170000000000001</v>
      </c>
      <c r="D17" s="120">
        <v>-0.35018935174871912</v>
      </c>
      <c r="E17" s="197">
        <v>0.48560000000000003</v>
      </c>
      <c r="F17" s="120">
        <f t="shared" si="0"/>
        <v>0.66472403153925264</v>
      </c>
      <c r="G17" s="197">
        <v>0.498</v>
      </c>
      <c r="H17" s="120">
        <f t="shared" si="0"/>
        <v>2.5535420098846684E-2</v>
      </c>
      <c r="I17" s="197">
        <v>0.48670000000000002</v>
      </c>
      <c r="J17" s="120">
        <f t="shared" si="0"/>
        <v>-2.269076305220874E-2</v>
      </c>
      <c r="K17" s="197">
        <v>0.57379999999999998</v>
      </c>
      <c r="L17" s="120">
        <f t="shared" si="0"/>
        <v>0.17896034518183668</v>
      </c>
      <c r="M17" s="197"/>
      <c r="N17" s="120"/>
    </row>
    <row r="18" spans="1:29" x14ac:dyDescent="0.25">
      <c r="A18" s="1" t="s">
        <v>90</v>
      </c>
      <c r="B18" s="118" t="s">
        <v>91</v>
      </c>
      <c r="C18" s="197">
        <v>0.33689999999999998</v>
      </c>
      <c r="D18" s="120">
        <v>-0.29504080351537987</v>
      </c>
      <c r="E18" s="197">
        <v>0.5554</v>
      </c>
      <c r="F18" s="120">
        <f t="shared" si="0"/>
        <v>0.64856040368061763</v>
      </c>
      <c r="G18" s="197">
        <v>0.54949999999999999</v>
      </c>
      <c r="H18" s="120">
        <f t="shared" si="0"/>
        <v>-1.0622974432841215E-2</v>
      </c>
      <c r="I18" s="197">
        <v>0.57689999999999997</v>
      </c>
      <c r="J18" s="120">
        <f t="shared" si="0"/>
        <v>4.9863512283894407E-2</v>
      </c>
      <c r="K18" s="197">
        <v>0.52039999999999997</v>
      </c>
      <c r="L18" s="120">
        <f t="shared" si="0"/>
        <v>-9.793725082336624E-2</v>
      </c>
      <c r="M18" s="197"/>
      <c r="N18" s="120"/>
      <c r="AB18" s="198"/>
    </row>
    <row r="19" spans="1:29" x14ac:dyDescent="0.25">
      <c r="A19" s="1" t="s">
        <v>92</v>
      </c>
      <c r="B19" s="118" t="s">
        <v>93</v>
      </c>
      <c r="C19" s="197">
        <v>0.2979</v>
      </c>
      <c r="D19" s="120">
        <v>-0.49207161125319698</v>
      </c>
      <c r="E19" s="197">
        <v>0.65709999999999991</v>
      </c>
      <c r="F19" s="120">
        <f t="shared" si="0"/>
        <v>1.2057737495803957</v>
      </c>
      <c r="G19" s="197">
        <v>0.65969999999999995</v>
      </c>
      <c r="H19" s="120">
        <f t="shared" si="0"/>
        <v>3.956779789986431E-3</v>
      </c>
      <c r="I19" s="197">
        <v>0.67669999999999997</v>
      </c>
      <c r="J19" s="120">
        <f t="shared" si="0"/>
        <v>2.576928907078968E-2</v>
      </c>
      <c r="K19" s="197">
        <v>0.66159999999999997</v>
      </c>
      <c r="L19" s="120">
        <f t="shared" si="0"/>
        <v>-2.2314171715679065E-2</v>
      </c>
      <c r="M19" s="197"/>
      <c r="N19" s="120"/>
      <c r="AB19" s="198"/>
      <c r="AC19" s="198"/>
    </row>
    <row r="20" spans="1:29" x14ac:dyDescent="0.25">
      <c r="A20" s="1" t="s">
        <v>94</v>
      </c>
      <c r="B20" s="118" t="s">
        <v>95</v>
      </c>
      <c r="C20" s="197">
        <v>0.26369999999999999</v>
      </c>
      <c r="D20" s="120">
        <v>-0.54776196192762827</v>
      </c>
      <c r="E20" s="197">
        <v>0.60489999999999999</v>
      </c>
      <c r="F20" s="120">
        <f t="shared" si="0"/>
        <v>1.2938945771710277</v>
      </c>
      <c r="G20" s="197">
        <v>0.61580000000000001</v>
      </c>
      <c r="H20" s="120">
        <f t="shared" si="0"/>
        <v>1.8019507356587861E-2</v>
      </c>
      <c r="I20" s="197">
        <v>0.62139999999999995</v>
      </c>
      <c r="J20" s="120">
        <f t="shared" si="0"/>
        <v>9.0938616433906549E-3</v>
      </c>
      <c r="K20" s="197">
        <v>0.66480000000000006</v>
      </c>
      <c r="L20" s="120">
        <f t="shared" si="0"/>
        <v>6.984229159961397E-2</v>
      </c>
      <c r="M20" s="197"/>
      <c r="N20" s="120"/>
      <c r="O20" s="126"/>
    </row>
    <row r="21" spans="1:29" ht="15.75" x14ac:dyDescent="0.25">
      <c r="A21" s="1" t="s">
        <v>0</v>
      </c>
      <c r="B21" s="121" t="s">
        <v>32</v>
      </c>
      <c r="C21" s="199">
        <v>0.43917828766012645</v>
      </c>
      <c r="D21" s="123">
        <v>-0.14384411362923355</v>
      </c>
      <c r="E21" s="199">
        <v>0.43287194104141685</v>
      </c>
      <c r="F21" s="123">
        <v>-1.435942257598577E-2</v>
      </c>
      <c r="G21" s="199">
        <v>0.55540181632567553</v>
      </c>
      <c r="H21" s="123">
        <v>0.28306264201249109</v>
      </c>
      <c r="I21" s="199">
        <v>0.56942335787332776</v>
      </c>
      <c r="J21" s="123">
        <v>2.5245761060727734E-2</v>
      </c>
      <c r="K21" s="199">
        <v>0.58812285219043858</v>
      </c>
      <c r="L21" s="123">
        <f t="shared" si="0"/>
        <v>3.283935240547442E-2</v>
      </c>
      <c r="M21" s="199"/>
      <c r="N21" s="123"/>
      <c r="O21" s="315"/>
    </row>
    <row r="22" spans="1:29" ht="6" customHeight="1" x14ac:dyDescent="0.25">
      <c r="O22" s="315"/>
    </row>
    <row r="23" spans="1:29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315"/>
    </row>
    <row r="24" spans="1:29" x14ac:dyDescent="0.25">
      <c r="C24" s="200"/>
      <c r="K24" s="200"/>
      <c r="M24" s="200"/>
      <c r="N24" s="120"/>
      <c r="O24" s="315"/>
    </row>
    <row r="26" spans="1:29" ht="21.75" customHeight="1" thickBot="1" x14ac:dyDescent="0.3">
      <c r="B26" s="278" t="s">
        <v>301</v>
      </c>
      <c r="C26" s="278"/>
      <c r="D26" s="278"/>
      <c r="E26" s="278"/>
      <c r="F26" s="278"/>
      <c r="G26" s="278"/>
      <c r="H26" s="278"/>
      <c r="I26" s="278"/>
      <c r="J26" s="278"/>
      <c r="K26" s="278"/>
      <c r="L26" s="278"/>
      <c r="M26" s="278"/>
      <c r="N26" s="278"/>
      <c r="P26" s="1" t="s">
        <v>155</v>
      </c>
    </row>
    <row r="27" spans="1:29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P27" s="1" t="s">
        <v>156</v>
      </c>
    </row>
    <row r="28" spans="1:29" ht="22.5" thickTop="1" thickBot="1" x14ac:dyDescent="0.3">
      <c r="B28" s="111"/>
      <c r="C28" s="303" t="s">
        <v>62</v>
      </c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</row>
    <row r="29" spans="1:29" ht="22.5" thickTop="1" thickBot="1" x14ac:dyDescent="0.3">
      <c r="B29" s="111"/>
      <c r="C29" s="305">
        <v>2020</v>
      </c>
      <c r="D29" s="306"/>
      <c r="E29" s="307">
        <v>2021</v>
      </c>
      <c r="F29" s="306"/>
      <c r="G29" s="307">
        <v>2022</v>
      </c>
      <c r="H29" s="306"/>
      <c r="I29" s="307">
        <v>2023</v>
      </c>
      <c r="J29" s="306"/>
      <c r="K29" s="307">
        <v>2024</v>
      </c>
      <c r="L29" s="306"/>
      <c r="M29" s="113">
        <f>M$7</f>
        <v>2025</v>
      </c>
      <c r="N29" s="114"/>
    </row>
    <row r="30" spans="1:29" ht="16.5" thickTop="1" thickBot="1" x14ac:dyDescent="0.3">
      <c r="B30" s="87"/>
      <c r="C30" s="115" t="s">
        <v>71</v>
      </c>
      <c r="D30" s="116" t="str">
        <f>CONCATENATE("var ",RIGHT(C29,2),"/",RIGHT(C29-1,2))</f>
        <v>var 20/19</v>
      </c>
      <c r="E30" s="117" t="s">
        <v>71</v>
      </c>
      <c r="F30" s="116" t="str">
        <f>CONCATENATE("var ",RIGHT(E29,2),"/",RIGHT(C29,2))</f>
        <v>var 21/20</v>
      </c>
      <c r="G30" s="117" t="s">
        <v>71</v>
      </c>
      <c r="H30" s="116" t="str">
        <f>CONCATENATE("var ",RIGHT(G29,2),"/",RIGHT(E29,2))</f>
        <v>var 22/21</v>
      </c>
      <c r="I30" s="117" t="s">
        <v>71</v>
      </c>
      <c r="J30" s="116" t="str">
        <f>CONCATENATE("var ",RIGHT(I29,2),"/",RIGHT(G29,2))</f>
        <v>var 23/22</v>
      </c>
      <c r="K30" s="117" t="s">
        <v>71</v>
      </c>
      <c r="L30" s="116" t="str">
        <f>CONCATENATE("var ",RIGHT(K29,2),"/",RIGHT(I29,2))</f>
        <v>var 24/23</v>
      </c>
      <c r="M30" s="117" t="s">
        <v>71</v>
      </c>
      <c r="N30" s="116" t="str">
        <f>CONCATENATE("var ",RIGHT(M29,2),"/",RIGHT(K29,2))</f>
        <v>var 25/24</v>
      </c>
    </row>
    <row r="31" spans="1:29" x14ac:dyDescent="0.25">
      <c r="B31" s="118" t="s">
        <v>73</v>
      </c>
      <c r="C31" s="197">
        <v>0.52139999999999997</v>
      </c>
      <c r="D31" s="120"/>
      <c r="E31" s="197">
        <v>0.17649999999999999</v>
      </c>
      <c r="F31" s="120">
        <f t="shared" ref="F31:J42" si="2">IFERROR(E31/C31-1,"-")</f>
        <v>-0.66148830072880704</v>
      </c>
      <c r="G31" s="197">
        <v>0.51840000000000008</v>
      </c>
      <c r="H31" s="120">
        <f t="shared" si="2"/>
        <v>1.9371104815864029</v>
      </c>
      <c r="I31" s="197">
        <v>0.67859999999999998</v>
      </c>
      <c r="J31" s="120">
        <f t="shared" si="2"/>
        <v>0.30902777777777746</v>
      </c>
      <c r="K31" s="197">
        <v>0.73069999999999991</v>
      </c>
      <c r="L31" s="120">
        <f t="shared" ref="L31:L43" si="3">IFERROR(K31/I31-1,"-")</f>
        <v>7.6775714706749154E-2</v>
      </c>
      <c r="M31" s="197">
        <v>0.68730000000000002</v>
      </c>
      <c r="N31" s="120">
        <f t="shared" ref="N31:N36" si="4">IFERROR(M31/K31-1,"-")</f>
        <v>-5.9395100588476635E-2</v>
      </c>
    </row>
    <row r="32" spans="1:29" x14ac:dyDescent="0.25">
      <c r="B32" s="118" t="s">
        <v>75</v>
      </c>
      <c r="C32" s="197">
        <v>0.626</v>
      </c>
      <c r="D32" s="120"/>
      <c r="E32" s="197">
        <v>0.32640000000000002</v>
      </c>
      <c r="F32" s="120">
        <f t="shared" si="2"/>
        <v>-0.47859424920127791</v>
      </c>
      <c r="G32" s="197">
        <v>0.60040000000000004</v>
      </c>
      <c r="H32" s="120">
        <f t="shared" si="2"/>
        <v>0.83946078431372539</v>
      </c>
      <c r="I32" s="197">
        <v>0.6581999999999999</v>
      </c>
      <c r="J32" s="120">
        <f t="shared" si="2"/>
        <v>9.6269153897401427E-2</v>
      </c>
      <c r="K32" s="197">
        <v>0.7206999999999999</v>
      </c>
      <c r="L32" s="120">
        <f t="shared" si="3"/>
        <v>9.4955940443634201E-2</v>
      </c>
      <c r="M32" s="197">
        <v>0.70169999999999999</v>
      </c>
      <c r="N32" s="120">
        <f t="shared" si="4"/>
        <v>-2.6363257943665785E-2</v>
      </c>
    </row>
    <row r="33" spans="2:16" x14ac:dyDescent="0.25">
      <c r="B33" s="118" t="s">
        <v>77</v>
      </c>
      <c r="C33" s="197">
        <v>0.22870000000000001</v>
      </c>
      <c r="D33" s="120"/>
      <c r="E33" s="197">
        <v>0.3256</v>
      </c>
      <c r="F33" s="120">
        <f t="shared" si="2"/>
        <v>0.4236991692173151</v>
      </c>
      <c r="G33" s="197">
        <v>0.59799999999999998</v>
      </c>
      <c r="H33" s="120">
        <f t="shared" si="2"/>
        <v>0.83660933660933656</v>
      </c>
      <c r="I33" s="197">
        <v>0.65930000000000011</v>
      </c>
      <c r="J33" s="120">
        <f t="shared" si="2"/>
        <v>0.10250836120401363</v>
      </c>
      <c r="K33" s="197">
        <v>0.68220000000000003</v>
      </c>
      <c r="L33" s="120">
        <f t="shared" si="3"/>
        <v>3.4733808584862524E-2</v>
      </c>
      <c r="M33" s="197">
        <v>0.68340000000000001</v>
      </c>
      <c r="N33" s="120">
        <f t="shared" si="4"/>
        <v>1.7590149516271136E-3</v>
      </c>
    </row>
    <row r="34" spans="2:16" x14ac:dyDescent="0.25">
      <c r="B34" s="118" t="s">
        <v>79</v>
      </c>
      <c r="C34" s="197">
        <v>0</v>
      </c>
      <c r="D34" s="120"/>
      <c r="E34" s="197">
        <v>0.27410000000000001</v>
      </c>
      <c r="F34" s="120" t="str">
        <f t="shared" si="2"/>
        <v>-</v>
      </c>
      <c r="G34" s="197">
        <v>0.55030000000000001</v>
      </c>
      <c r="H34" s="120">
        <f t="shared" si="2"/>
        <v>1.0076614374315942</v>
      </c>
      <c r="I34" s="197">
        <v>0.49869999999999998</v>
      </c>
      <c r="J34" s="120">
        <f t="shared" si="2"/>
        <v>-9.3767036162093476E-2</v>
      </c>
      <c r="K34" s="197">
        <v>0.55449999999999999</v>
      </c>
      <c r="L34" s="120">
        <f t="shared" si="3"/>
        <v>0.11189091638259474</v>
      </c>
      <c r="M34" s="197">
        <v>0.58630000000000004</v>
      </c>
      <c r="N34" s="120">
        <f t="shared" si="4"/>
        <v>5.7348963029756561E-2</v>
      </c>
    </row>
    <row r="35" spans="2:16" x14ac:dyDescent="0.25">
      <c r="B35" s="118" t="s">
        <v>81</v>
      </c>
      <c r="C35" s="197">
        <v>0</v>
      </c>
      <c r="D35" s="120"/>
      <c r="E35" s="197">
        <v>0.32590000000000002</v>
      </c>
      <c r="F35" s="120" t="str">
        <f t="shared" si="2"/>
        <v>-</v>
      </c>
      <c r="G35" s="197">
        <v>0.53539999999999999</v>
      </c>
      <c r="H35" s="120">
        <f t="shared" si="2"/>
        <v>0.64283522552930328</v>
      </c>
      <c r="I35" s="197">
        <v>0.48149999999999998</v>
      </c>
      <c r="J35" s="120">
        <f t="shared" si="2"/>
        <v>-0.10067239447142329</v>
      </c>
      <c r="K35" s="197">
        <v>0.44569999999999999</v>
      </c>
      <c r="L35" s="120">
        <f t="shared" si="3"/>
        <v>-7.4350986500519189E-2</v>
      </c>
      <c r="M35" s="197">
        <v>0.54890000000000005</v>
      </c>
      <c r="N35" s="120">
        <f t="shared" si="4"/>
        <v>0.23154588288086164</v>
      </c>
    </row>
    <row r="36" spans="2:16" x14ac:dyDescent="0.25">
      <c r="B36" s="118" t="s">
        <v>83</v>
      </c>
      <c r="C36" s="197">
        <v>0</v>
      </c>
      <c r="D36" s="120"/>
      <c r="E36" s="197">
        <v>0.37560000000000004</v>
      </c>
      <c r="F36" s="120" t="str">
        <f t="shared" si="2"/>
        <v>-</v>
      </c>
      <c r="G36" s="197">
        <v>0.49780000000000002</v>
      </c>
      <c r="H36" s="120">
        <f t="shared" si="2"/>
        <v>0.32534611288604887</v>
      </c>
      <c r="I36" s="197">
        <v>0.47020000000000001</v>
      </c>
      <c r="J36" s="120">
        <f t="shared" si="2"/>
        <v>-5.5443953394937795E-2</v>
      </c>
      <c r="K36" s="197">
        <v>0.48170000000000002</v>
      </c>
      <c r="L36" s="120">
        <f t="shared" si="3"/>
        <v>2.4457677584006854E-2</v>
      </c>
      <c r="M36" s="197">
        <v>0.52880000000000005</v>
      </c>
      <c r="N36" s="120">
        <f t="shared" si="4"/>
        <v>9.7778700435956045E-2</v>
      </c>
    </row>
    <row r="37" spans="2:16" x14ac:dyDescent="0.25">
      <c r="B37" s="118" t="s">
        <v>85</v>
      </c>
      <c r="C37" s="197">
        <v>0</v>
      </c>
      <c r="D37" s="120"/>
      <c r="E37" s="197">
        <v>0.42359999999999998</v>
      </c>
      <c r="F37" s="120" t="str">
        <f t="shared" si="2"/>
        <v>-</v>
      </c>
      <c r="G37" s="197">
        <v>0.52890000000000004</v>
      </c>
      <c r="H37" s="120">
        <f t="shared" si="2"/>
        <v>0.24858356940509929</v>
      </c>
      <c r="I37" s="197">
        <v>0.49259999999999998</v>
      </c>
      <c r="J37" s="120">
        <f t="shared" si="2"/>
        <v>-6.8633011911514608E-2</v>
      </c>
      <c r="K37" s="197">
        <v>0.52629999999999999</v>
      </c>
      <c r="L37" s="120">
        <f t="shared" si="3"/>
        <v>6.8412505075111651E-2</v>
      </c>
      <c r="M37" s="197"/>
      <c r="N37" s="120"/>
    </row>
    <row r="38" spans="2:16" x14ac:dyDescent="0.25">
      <c r="B38" s="118" t="s">
        <v>87</v>
      </c>
      <c r="C38" s="197">
        <v>0.48630000000000001</v>
      </c>
      <c r="D38" s="120"/>
      <c r="E38" s="197">
        <v>0.51919999999999999</v>
      </c>
      <c r="F38" s="120">
        <f t="shared" si="2"/>
        <v>6.7653711700596197E-2</v>
      </c>
      <c r="G38" s="197">
        <v>0.51259999999999994</v>
      </c>
      <c r="H38" s="120">
        <f t="shared" si="2"/>
        <v>-1.2711864406779738E-2</v>
      </c>
      <c r="I38" s="197">
        <v>0.52780000000000005</v>
      </c>
      <c r="J38" s="120">
        <f t="shared" si="2"/>
        <v>2.9652750682793716E-2</v>
      </c>
      <c r="K38" s="197">
        <v>0.52239999999999998</v>
      </c>
      <c r="L38" s="120">
        <f t="shared" si="3"/>
        <v>-1.0231148162182735E-2</v>
      </c>
      <c r="M38" s="197"/>
      <c r="N38" s="120"/>
    </row>
    <row r="39" spans="2:16" x14ac:dyDescent="0.25">
      <c r="B39" s="118" t="s">
        <v>89</v>
      </c>
      <c r="C39" s="197">
        <v>0.29170000000000001</v>
      </c>
      <c r="D39" s="120"/>
      <c r="E39" s="197">
        <v>0.48560000000000003</v>
      </c>
      <c r="F39" s="120">
        <f t="shared" si="2"/>
        <v>0.66472403153925264</v>
      </c>
      <c r="G39" s="197">
        <v>0.498</v>
      </c>
      <c r="H39" s="120">
        <f t="shared" si="2"/>
        <v>2.5535420098846684E-2</v>
      </c>
      <c r="I39" s="197">
        <v>0.48670000000000002</v>
      </c>
      <c r="J39" s="120">
        <f t="shared" si="2"/>
        <v>-2.269076305220874E-2</v>
      </c>
      <c r="K39" s="197">
        <v>0.57379999999999998</v>
      </c>
      <c r="L39" s="120">
        <f t="shared" si="3"/>
        <v>0.17896034518183668</v>
      </c>
      <c r="M39" s="197"/>
      <c r="N39" s="120"/>
    </row>
    <row r="40" spans="2:16" x14ac:dyDescent="0.25">
      <c r="B40" s="118" t="s">
        <v>91</v>
      </c>
      <c r="C40" s="197">
        <v>0.33689999999999998</v>
      </c>
      <c r="D40" s="120"/>
      <c r="E40" s="197">
        <v>0.5554</v>
      </c>
      <c r="F40" s="120">
        <f t="shared" si="2"/>
        <v>0.64856040368061763</v>
      </c>
      <c r="G40" s="197">
        <v>0.54949999999999999</v>
      </c>
      <c r="H40" s="120">
        <f t="shared" si="2"/>
        <v>-1.0622974432841215E-2</v>
      </c>
      <c r="I40" s="197">
        <v>0.57689999999999997</v>
      </c>
      <c r="J40" s="120">
        <f t="shared" si="2"/>
        <v>4.9863512283894407E-2</v>
      </c>
      <c r="K40" s="197">
        <v>0.52039999999999997</v>
      </c>
      <c r="L40" s="120">
        <f t="shared" si="3"/>
        <v>-9.793725082336624E-2</v>
      </c>
      <c r="M40" s="197"/>
      <c r="N40" s="120"/>
    </row>
    <row r="41" spans="2:16" x14ac:dyDescent="0.25">
      <c r="B41" s="118" t="s">
        <v>93</v>
      </c>
      <c r="C41" s="197">
        <v>0.2979</v>
      </c>
      <c r="D41" s="120"/>
      <c r="E41" s="197">
        <v>0.65709999999999991</v>
      </c>
      <c r="F41" s="120">
        <f t="shared" si="2"/>
        <v>1.2057737495803957</v>
      </c>
      <c r="G41" s="197">
        <v>0.65969999999999995</v>
      </c>
      <c r="H41" s="120">
        <f t="shared" si="2"/>
        <v>3.956779789986431E-3</v>
      </c>
      <c r="I41" s="197">
        <v>0.67669999999999997</v>
      </c>
      <c r="J41" s="120">
        <f t="shared" si="2"/>
        <v>2.576928907078968E-2</v>
      </c>
      <c r="K41" s="197">
        <v>0.66159999999999997</v>
      </c>
      <c r="L41" s="120">
        <f t="shared" si="3"/>
        <v>-2.2314171715679065E-2</v>
      </c>
      <c r="M41" s="197"/>
      <c r="N41" s="120"/>
    </row>
    <row r="42" spans="2:16" x14ac:dyDescent="0.25">
      <c r="B42" s="118" t="s">
        <v>95</v>
      </c>
      <c r="C42" s="197">
        <v>0.26369999999999999</v>
      </c>
      <c r="D42" s="120"/>
      <c r="E42" s="197">
        <v>0.60489999999999999</v>
      </c>
      <c r="F42" s="120">
        <f t="shared" si="2"/>
        <v>1.2938945771710277</v>
      </c>
      <c r="G42" s="197">
        <v>0.61580000000000001</v>
      </c>
      <c r="H42" s="120">
        <f t="shared" si="2"/>
        <v>1.8019507356587861E-2</v>
      </c>
      <c r="I42" s="197">
        <v>0.62139999999999995</v>
      </c>
      <c r="J42" s="120">
        <f t="shared" si="2"/>
        <v>9.0938616433906549E-3</v>
      </c>
      <c r="K42" s="197">
        <v>0.66480000000000006</v>
      </c>
      <c r="L42" s="120">
        <f t="shared" si="3"/>
        <v>6.984229159961397E-2</v>
      </c>
      <c r="M42" s="197"/>
      <c r="N42" s="120"/>
    </row>
    <row r="43" spans="2:16" ht="15.75" x14ac:dyDescent="0.25">
      <c r="B43" s="121" t="s">
        <v>32</v>
      </c>
      <c r="C43" s="199">
        <v>0.38850000000000001</v>
      </c>
      <c r="D43" s="123">
        <v>-0.24263887537070183</v>
      </c>
      <c r="E43" s="199">
        <v>0.43290000000000001</v>
      </c>
      <c r="F43" s="123">
        <v>0.11428571428571432</v>
      </c>
      <c r="G43" s="199">
        <v>0.5554</v>
      </c>
      <c r="H43" s="123">
        <v>0.28297528297528296</v>
      </c>
      <c r="I43" s="199">
        <v>0.56942335787332776</v>
      </c>
      <c r="J43" s="123">
        <v>2.5249113923888622E-2</v>
      </c>
      <c r="K43" s="199">
        <v>0.58812285219043858</v>
      </c>
      <c r="L43" s="123">
        <f t="shared" si="3"/>
        <v>3.283935240547442E-2</v>
      </c>
      <c r="M43" s="199"/>
      <c r="N43" s="123"/>
    </row>
    <row r="44" spans="2:16" ht="6" customHeight="1" x14ac:dyDescent="0.25"/>
    <row r="45" spans="2:16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6" x14ac:dyDescent="0.25">
      <c r="C46" s="200"/>
      <c r="K46" s="200"/>
      <c r="L46" s="200"/>
    </row>
    <row r="48" spans="2:16" ht="21.75" customHeight="1" thickBot="1" x14ac:dyDescent="0.3">
      <c r="B48" s="278" t="s">
        <v>302</v>
      </c>
      <c r="C48" s="278"/>
      <c r="D48" s="278"/>
      <c r="E48" s="278"/>
      <c r="F48" s="278"/>
      <c r="G48" s="278"/>
      <c r="H48" s="278"/>
      <c r="I48" s="278"/>
      <c r="J48" s="278"/>
      <c r="K48" s="278"/>
      <c r="L48" s="278"/>
      <c r="M48" s="278"/>
      <c r="N48" s="278"/>
      <c r="P48" s="1" t="s">
        <v>157</v>
      </c>
    </row>
    <row r="49" spans="2:16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P49" s="1" t="s">
        <v>158</v>
      </c>
    </row>
    <row r="50" spans="2:16" ht="22.5" thickTop="1" thickBot="1" x14ac:dyDescent="0.3">
      <c r="B50" s="111"/>
      <c r="C50" s="303" t="s">
        <v>63</v>
      </c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</row>
    <row r="51" spans="2:16" ht="22.5" thickTop="1" thickBot="1" x14ac:dyDescent="0.3">
      <c r="B51" s="111"/>
      <c r="C51" s="305">
        <v>2020</v>
      </c>
      <c r="D51" s="306"/>
      <c r="E51" s="307">
        <v>2021</v>
      </c>
      <c r="F51" s="306"/>
      <c r="G51" s="307">
        <v>2022</v>
      </c>
      <c r="H51" s="306"/>
      <c r="I51" s="307">
        <v>2023</v>
      </c>
      <c r="J51" s="306"/>
      <c r="K51" s="307">
        <v>2024</v>
      </c>
      <c r="L51" s="306"/>
      <c r="M51" s="113">
        <f>M$7</f>
        <v>2025</v>
      </c>
      <c r="N51" s="114"/>
    </row>
    <row r="52" spans="2:16" ht="16.5" thickTop="1" thickBot="1" x14ac:dyDescent="0.3">
      <c r="B52" s="87"/>
      <c r="C52" s="115" t="s">
        <v>71</v>
      </c>
      <c r="D52" s="116" t="str">
        <f>CONCATENATE("var ",RIGHT(C51,2),"/",RIGHT(C51-1,2))</f>
        <v>var 20/19</v>
      </c>
      <c r="E52" s="117" t="s">
        <v>71</v>
      </c>
      <c r="F52" s="116" t="str">
        <f>CONCATENATE("var ",RIGHT(E51,2),"/",RIGHT(C51,2))</f>
        <v>var 21/20</v>
      </c>
      <c r="G52" s="117" t="s">
        <v>71</v>
      </c>
      <c r="H52" s="116" t="str">
        <f>CONCATENATE("var ",RIGHT(G51,2),"/",RIGHT(E51,2))</f>
        <v>var 22/21</v>
      </c>
      <c r="I52" s="117" t="s">
        <v>71</v>
      </c>
      <c r="J52" s="116" t="str">
        <f>CONCATENATE("var ",RIGHT(I51,2),"/",RIGHT(G51,2))</f>
        <v>var 23/22</v>
      </c>
      <c r="K52" s="117" t="s">
        <v>71</v>
      </c>
      <c r="L52" s="116" t="str">
        <f>CONCATENATE("var ",RIGHT(K51,2),"/",RIGHT(I51,2))</f>
        <v>var 24/23</v>
      </c>
      <c r="M52" s="117" t="s">
        <v>71</v>
      </c>
      <c r="N52" s="116" t="str">
        <f>CONCATENATE("var ",RIGHT(M51,2),"/",RIGHT(K51,2))</f>
        <v>var 25/24</v>
      </c>
    </row>
    <row r="53" spans="2:16" x14ac:dyDescent="0.25">
      <c r="B53" s="118" t="s">
        <v>73</v>
      </c>
      <c r="C53" s="197">
        <v>0.52039999999999997</v>
      </c>
      <c r="D53" s="120"/>
      <c r="E53" s="197" t="s">
        <v>229</v>
      </c>
      <c r="F53" s="120" t="str">
        <f t="shared" ref="F53:J64" si="5">IFERROR(E53/C53-1,"-")</f>
        <v>-</v>
      </c>
      <c r="G53" s="197" t="s">
        <v>229</v>
      </c>
      <c r="H53" s="120" t="str">
        <f t="shared" si="5"/>
        <v>-</v>
      </c>
      <c r="I53" s="197">
        <v>0.6845</v>
      </c>
      <c r="J53" s="120" t="str">
        <f t="shared" si="5"/>
        <v>-</v>
      </c>
      <c r="K53" s="197">
        <v>0.70760000000000001</v>
      </c>
      <c r="L53" s="120">
        <f t="shared" ref="L53:L64" si="6">IFERROR(K53/I53-1,"-")</f>
        <v>3.3747260774287913E-2</v>
      </c>
      <c r="M53" s="197">
        <v>0.69359999999999999</v>
      </c>
      <c r="N53" s="120">
        <f t="shared" ref="N53:N58" si="7">IFERROR(M53/K53-1,"-")</f>
        <v>-1.9785189372526824E-2</v>
      </c>
    </row>
    <row r="54" spans="2:16" x14ac:dyDescent="0.25">
      <c r="B54" s="118" t="s">
        <v>75</v>
      </c>
      <c r="C54" s="197">
        <v>0.61580000000000001</v>
      </c>
      <c r="D54" s="120"/>
      <c r="E54" s="197" t="s">
        <v>229</v>
      </c>
      <c r="F54" s="120" t="str">
        <f t="shared" si="5"/>
        <v>-</v>
      </c>
      <c r="G54" s="197" t="s">
        <v>229</v>
      </c>
      <c r="H54" s="120" t="str">
        <f t="shared" si="5"/>
        <v>-</v>
      </c>
      <c r="I54" s="197">
        <v>0.70169999999999999</v>
      </c>
      <c r="J54" s="120" t="str">
        <f t="shared" si="5"/>
        <v>-</v>
      </c>
      <c r="K54" s="197">
        <v>0.71660000000000001</v>
      </c>
      <c r="L54" s="120">
        <f t="shared" si="6"/>
        <v>2.1234145646287672E-2</v>
      </c>
      <c r="M54" s="197">
        <v>0.70040000000000002</v>
      </c>
      <c r="N54" s="120">
        <f t="shared" si="7"/>
        <v>-2.260675411666202E-2</v>
      </c>
    </row>
    <row r="55" spans="2:16" x14ac:dyDescent="0.25">
      <c r="B55" s="118" t="s">
        <v>77</v>
      </c>
      <c r="C55" s="197">
        <v>0.2402</v>
      </c>
      <c r="D55" s="120"/>
      <c r="E55" s="197" t="s">
        <v>229</v>
      </c>
      <c r="F55" s="120" t="str">
        <f t="shared" si="5"/>
        <v>-</v>
      </c>
      <c r="G55" s="197" t="s">
        <v>229</v>
      </c>
      <c r="H55" s="120" t="str">
        <f t="shared" si="5"/>
        <v>-</v>
      </c>
      <c r="I55" s="197">
        <v>0.66610000000000003</v>
      </c>
      <c r="J55" s="120" t="str">
        <f t="shared" si="5"/>
        <v>-</v>
      </c>
      <c r="K55" s="197">
        <v>0.6431</v>
      </c>
      <c r="L55" s="120">
        <f t="shared" si="6"/>
        <v>-3.4529349947455379E-2</v>
      </c>
      <c r="M55" s="197">
        <v>0.6744</v>
      </c>
      <c r="N55" s="120">
        <f t="shared" si="7"/>
        <v>4.8670502254703818E-2</v>
      </c>
    </row>
    <row r="56" spans="2:16" x14ac:dyDescent="0.25">
      <c r="B56" s="118" t="s">
        <v>79</v>
      </c>
      <c r="C56" s="197">
        <v>0</v>
      </c>
      <c r="D56" s="120"/>
      <c r="E56" s="197" t="s">
        <v>229</v>
      </c>
      <c r="F56" s="120" t="str">
        <f t="shared" si="5"/>
        <v>-</v>
      </c>
      <c r="G56" s="197" t="s">
        <v>229</v>
      </c>
      <c r="H56" s="120" t="str">
        <f t="shared" si="5"/>
        <v>-</v>
      </c>
      <c r="I56" s="197">
        <v>0.54310000000000003</v>
      </c>
      <c r="J56" s="120" t="str">
        <f t="shared" si="5"/>
        <v>-</v>
      </c>
      <c r="K56" s="197">
        <v>0.56380000000000008</v>
      </c>
      <c r="L56" s="120">
        <f t="shared" si="6"/>
        <v>3.8114527711287094E-2</v>
      </c>
      <c r="M56" s="197">
        <v>0.59130000000000005</v>
      </c>
      <c r="N56" s="120">
        <f t="shared" si="7"/>
        <v>4.8776161759489067E-2</v>
      </c>
    </row>
    <row r="57" spans="2:16" x14ac:dyDescent="0.25">
      <c r="B57" s="118" t="s">
        <v>81</v>
      </c>
      <c r="C57" s="197">
        <v>0</v>
      </c>
      <c r="D57" s="120"/>
      <c r="E57" s="197" t="s">
        <v>229</v>
      </c>
      <c r="F57" s="120" t="str">
        <f t="shared" si="5"/>
        <v>-</v>
      </c>
      <c r="G57" s="197" t="s">
        <v>229</v>
      </c>
      <c r="H57" s="120" t="str">
        <f t="shared" si="5"/>
        <v>-</v>
      </c>
      <c r="I57" s="197">
        <v>0.47859999999999997</v>
      </c>
      <c r="J57" s="120" t="str">
        <f t="shared" si="5"/>
        <v>-</v>
      </c>
      <c r="K57" s="197">
        <v>0.43509999999999999</v>
      </c>
      <c r="L57" s="120">
        <f t="shared" si="6"/>
        <v>-9.0890096113664831E-2</v>
      </c>
      <c r="M57" s="197">
        <v>0.55490000000000006</v>
      </c>
      <c r="N57" s="120">
        <f t="shared" si="7"/>
        <v>0.27533900252815457</v>
      </c>
    </row>
    <row r="58" spans="2:16" x14ac:dyDescent="0.25">
      <c r="B58" s="118" t="s">
        <v>83</v>
      </c>
      <c r="C58" s="197">
        <v>0</v>
      </c>
      <c r="D58" s="120"/>
      <c r="E58" s="197" t="s">
        <v>229</v>
      </c>
      <c r="F58" s="120" t="str">
        <f t="shared" si="5"/>
        <v>-</v>
      </c>
      <c r="G58" s="197" t="s">
        <v>229</v>
      </c>
      <c r="H58" s="120" t="str">
        <f t="shared" si="5"/>
        <v>-</v>
      </c>
      <c r="I58" s="197">
        <v>0.44630000000000003</v>
      </c>
      <c r="J58" s="120" t="str">
        <f t="shared" si="5"/>
        <v>-</v>
      </c>
      <c r="K58" s="197">
        <v>0.48159999999999997</v>
      </c>
      <c r="L58" s="120">
        <f t="shared" si="6"/>
        <v>7.9094779296437157E-2</v>
      </c>
      <c r="M58" s="197">
        <v>0.53539999999999999</v>
      </c>
      <c r="N58" s="120">
        <f t="shared" si="7"/>
        <v>0.11171096345514964</v>
      </c>
    </row>
    <row r="59" spans="2:16" x14ac:dyDescent="0.25">
      <c r="B59" s="118" t="s">
        <v>85</v>
      </c>
      <c r="C59" s="197">
        <v>0</v>
      </c>
      <c r="D59" s="120"/>
      <c r="E59" s="197" t="s">
        <v>229</v>
      </c>
      <c r="F59" s="120" t="str">
        <f t="shared" si="5"/>
        <v>-</v>
      </c>
      <c r="G59" s="197" t="s">
        <v>229</v>
      </c>
      <c r="H59" s="120" t="str">
        <f t="shared" si="5"/>
        <v>-</v>
      </c>
      <c r="I59" s="197">
        <v>0.50290000000000001</v>
      </c>
      <c r="J59" s="120" t="str">
        <f t="shared" si="5"/>
        <v>-</v>
      </c>
      <c r="K59" s="197">
        <v>0.55110000000000003</v>
      </c>
      <c r="L59" s="120">
        <f t="shared" si="6"/>
        <v>9.5844104195665247E-2</v>
      </c>
      <c r="M59" s="197"/>
      <c r="N59" s="120"/>
    </row>
    <row r="60" spans="2:16" x14ac:dyDescent="0.25">
      <c r="B60" s="118" t="s">
        <v>87</v>
      </c>
      <c r="C60" s="197">
        <v>0.53979999999999995</v>
      </c>
      <c r="D60" s="120"/>
      <c r="E60" s="197" t="s">
        <v>229</v>
      </c>
      <c r="F60" s="120" t="str">
        <f t="shared" si="5"/>
        <v>-</v>
      </c>
      <c r="G60" s="197" t="s">
        <v>229</v>
      </c>
      <c r="H60" s="120" t="str">
        <f t="shared" si="5"/>
        <v>-</v>
      </c>
      <c r="I60" s="197">
        <v>0.56430000000000002</v>
      </c>
      <c r="J60" s="120" t="str">
        <f t="shared" si="5"/>
        <v>-</v>
      </c>
      <c r="K60" s="197">
        <v>0.62619999999999998</v>
      </c>
      <c r="L60" s="120">
        <f t="shared" si="6"/>
        <v>0.10969342548289918</v>
      </c>
      <c r="M60" s="197"/>
      <c r="N60" s="120"/>
    </row>
    <row r="61" spans="2:16" x14ac:dyDescent="0.25">
      <c r="B61" s="118" t="s">
        <v>89</v>
      </c>
      <c r="C61" s="197">
        <v>0.27250000000000002</v>
      </c>
      <c r="D61" s="120"/>
      <c r="E61" s="197" t="s">
        <v>229</v>
      </c>
      <c r="F61" s="120" t="str">
        <f t="shared" si="5"/>
        <v>-</v>
      </c>
      <c r="G61" s="197" t="s">
        <v>229</v>
      </c>
      <c r="H61" s="120" t="str">
        <f t="shared" si="5"/>
        <v>-</v>
      </c>
      <c r="I61" s="197">
        <v>0.52639999999999998</v>
      </c>
      <c r="J61" s="120" t="str">
        <f t="shared" si="5"/>
        <v>-</v>
      </c>
      <c r="K61" s="197">
        <v>0.57579999999999998</v>
      </c>
      <c r="L61" s="120">
        <f t="shared" si="6"/>
        <v>9.3844984802431641E-2</v>
      </c>
      <c r="M61" s="197"/>
      <c r="N61" s="120"/>
    </row>
    <row r="62" spans="2:16" x14ac:dyDescent="0.25">
      <c r="B62" s="118" t="s">
        <v>91</v>
      </c>
      <c r="C62" s="197">
        <v>0.30959999999999999</v>
      </c>
      <c r="D62" s="120"/>
      <c r="E62" s="197" t="s">
        <v>229</v>
      </c>
      <c r="F62" s="120" t="str">
        <f t="shared" si="5"/>
        <v>-</v>
      </c>
      <c r="G62" s="197" t="s">
        <v>229</v>
      </c>
      <c r="H62" s="120" t="str">
        <f t="shared" si="5"/>
        <v>-</v>
      </c>
      <c r="I62" s="197">
        <v>0.59870000000000001</v>
      </c>
      <c r="J62" s="120" t="str">
        <f t="shared" si="5"/>
        <v>-</v>
      </c>
      <c r="K62" s="197">
        <v>0.52369999999999994</v>
      </c>
      <c r="L62" s="120">
        <f t="shared" si="6"/>
        <v>-0.12527142141306169</v>
      </c>
      <c r="M62" s="197"/>
      <c r="N62" s="120"/>
    </row>
    <row r="63" spans="2:16" x14ac:dyDescent="0.25">
      <c r="B63" s="118" t="s">
        <v>93</v>
      </c>
      <c r="C63" s="197">
        <v>0.28670000000000001</v>
      </c>
      <c r="D63" s="120"/>
      <c r="E63" s="197" t="s">
        <v>229</v>
      </c>
      <c r="F63" s="120" t="str">
        <f t="shared" si="5"/>
        <v>-</v>
      </c>
      <c r="G63" s="197" t="s">
        <v>229</v>
      </c>
      <c r="H63" s="120" t="str">
        <f t="shared" si="5"/>
        <v>-</v>
      </c>
      <c r="I63" s="197">
        <v>0.69230000000000003</v>
      </c>
      <c r="J63" s="120" t="str">
        <f t="shared" si="5"/>
        <v>-</v>
      </c>
      <c r="K63" s="197">
        <v>0.66239999999999999</v>
      </c>
      <c r="L63" s="120">
        <f t="shared" si="6"/>
        <v>-4.318936877076418E-2</v>
      </c>
      <c r="M63" s="197"/>
      <c r="N63" s="120"/>
    </row>
    <row r="64" spans="2:16" x14ac:dyDescent="0.25">
      <c r="B64" s="118" t="s">
        <v>95</v>
      </c>
      <c r="C64" s="197">
        <v>0.2515</v>
      </c>
      <c r="D64" s="120"/>
      <c r="E64" s="197" t="s">
        <v>229</v>
      </c>
      <c r="F64" s="120" t="str">
        <f t="shared" si="5"/>
        <v>-</v>
      </c>
      <c r="G64" s="197" t="s">
        <v>229</v>
      </c>
      <c r="H64" s="120" t="str">
        <f t="shared" si="5"/>
        <v>-</v>
      </c>
      <c r="I64" s="197">
        <v>0.62219999999999998</v>
      </c>
      <c r="J64" s="120" t="str">
        <f t="shared" si="5"/>
        <v>-</v>
      </c>
      <c r="K64" s="197">
        <v>0.65159999999999996</v>
      </c>
      <c r="L64" s="120">
        <f t="shared" si="6"/>
        <v>4.7251687560269984E-2</v>
      </c>
      <c r="M64" s="197"/>
      <c r="N64" s="120"/>
    </row>
    <row r="65" spans="2:16" ht="15.75" x14ac:dyDescent="0.25">
      <c r="B65" s="121" t="s">
        <v>32</v>
      </c>
      <c r="C65" s="199">
        <v>0.53115642802858176</v>
      </c>
      <c r="D65" s="123"/>
      <c r="E65" s="199">
        <v>0.3785</v>
      </c>
      <c r="F65" s="123">
        <v>-0.28740389831141655</v>
      </c>
      <c r="G65" s="199">
        <v>0.42406401375024599</v>
      </c>
      <c r="H65" s="123">
        <v>0.12038048546960622</v>
      </c>
      <c r="I65" s="199">
        <v>0.55261090702655957</v>
      </c>
      <c r="J65" s="123">
        <v>0.30313086965219771</v>
      </c>
      <c r="K65" s="199">
        <v>0.58497896924763915</v>
      </c>
      <c r="L65" s="123">
        <v>5.8572970257215529E-2</v>
      </c>
      <c r="M65" s="203"/>
      <c r="N65" s="202"/>
    </row>
    <row r="66" spans="2:16" ht="6" customHeight="1" x14ac:dyDescent="0.25"/>
    <row r="67" spans="2:16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2:16" x14ac:dyDescent="0.25">
      <c r="C68" s="200" t="e">
        <v>#REF!</v>
      </c>
      <c r="K68" s="200"/>
      <c r="L68" s="200"/>
    </row>
    <row r="70" spans="2:16" ht="21.75" customHeight="1" thickBot="1" x14ac:dyDescent="0.3">
      <c r="B70" s="278" t="s">
        <v>303</v>
      </c>
      <c r="C70" s="278"/>
      <c r="D70" s="278"/>
      <c r="E70" s="278"/>
      <c r="F70" s="278"/>
      <c r="G70" s="278"/>
      <c r="H70" s="278"/>
      <c r="I70" s="278"/>
      <c r="J70" s="278"/>
      <c r="K70" s="278"/>
      <c r="L70" s="278"/>
      <c r="M70" s="278"/>
      <c r="N70" s="278"/>
      <c r="P70" s="1" t="s">
        <v>159</v>
      </c>
    </row>
    <row r="71" spans="2:16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P71" s="1" t="s">
        <v>160</v>
      </c>
    </row>
    <row r="72" spans="2:16" ht="22.5" thickTop="1" thickBot="1" x14ac:dyDescent="0.3">
      <c r="B72" s="111"/>
      <c r="C72" s="303" t="s">
        <v>64</v>
      </c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</row>
    <row r="73" spans="2:16" ht="22.5" thickTop="1" thickBot="1" x14ac:dyDescent="0.3">
      <c r="B73" s="111"/>
      <c r="C73" s="305">
        <v>2020</v>
      </c>
      <c r="D73" s="306"/>
      <c r="E73" s="307">
        <v>2021</v>
      </c>
      <c r="F73" s="306"/>
      <c r="G73" s="307">
        <v>2022</v>
      </c>
      <c r="H73" s="306"/>
      <c r="I73" s="307">
        <v>2023</v>
      </c>
      <c r="J73" s="306"/>
      <c r="K73" s="307">
        <v>2024</v>
      </c>
      <c r="L73" s="306"/>
      <c r="M73" s="113">
        <f>M$7</f>
        <v>2025</v>
      </c>
      <c r="N73" s="114"/>
    </row>
    <row r="74" spans="2:16" ht="16.5" thickTop="1" thickBot="1" x14ac:dyDescent="0.3">
      <c r="B74" s="87"/>
      <c r="C74" s="115" t="s">
        <v>71</v>
      </c>
      <c r="D74" s="116" t="str">
        <f>CONCATENATE("var ",RIGHT(C73,2),"/",RIGHT(C73-1,2))</f>
        <v>var 20/19</v>
      </c>
      <c r="E74" s="117" t="s">
        <v>71</v>
      </c>
      <c r="F74" s="116" t="str">
        <f>CONCATENATE("var ",RIGHT(E73,2),"/",RIGHT(C73,2))</f>
        <v>var 21/20</v>
      </c>
      <c r="G74" s="117" t="s">
        <v>71</v>
      </c>
      <c r="H74" s="116" t="str">
        <f>CONCATENATE("var ",RIGHT(G73,2),"/",RIGHT(E73,2))</f>
        <v>var 22/21</v>
      </c>
      <c r="I74" s="117" t="s">
        <v>71</v>
      </c>
      <c r="J74" s="116" t="str">
        <f>CONCATENATE("var ",RIGHT(I73,2),"/",RIGHT(G73,2))</f>
        <v>var 23/22</v>
      </c>
      <c r="K74" s="117" t="s">
        <v>71</v>
      </c>
      <c r="L74" s="116" t="str">
        <f>CONCATENATE("var ",RIGHT(K73,2),"/",RIGHT(I73,2))</f>
        <v>var 24/23</v>
      </c>
      <c r="M74" s="117" t="s">
        <v>71</v>
      </c>
      <c r="N74" s="116" t="str">
        <f>CONCATENATE("var ",RIGHT(M73,2),"/",RIGHT(K73,2))</f>
        <v>var 25/24</v>
      </c>
    </row>
    <row r="75" spans="2:16" x14ac:dyDescent="0.25">
      <c r="B75" s="118" t="s">
        <v>73</v>
      </c>
      <c r="C75" s="197">
        <v>0.52249999999999996</v>
      </c>
      <c r="D75" s="120"/>
      <c r="E75" s="197" t="s">
        <v>229</v>
      </c>
      <c r="F75" s="120" t="str">
        <f t="shared" ref="F75:J86" si="8">IFERROR(E75/C75-1,"-")</f>
        <v>-</v>
      </c>
      <c r="G75" s="197" t="s">
        <v>229</v>
      </c>
      <c r="H75" s="120" t="str">
        <f t="shared" si="8"/>
        <v>-</v>
      </c>
      <c r="I75" s="197">
        <v>0.67010000000000003</v>
      </c>
      <c r="J75" s="120" t="str">
        <f t="shared" si="8"/>
        <v>-</v>
      </c>
      <c r="K75" s="197">
        <v>0.7659999999999999</v>
      </c>
      <c r="L75" s="120">
        <f t="shared" ref="L75:L86" si="9">IFERROR(K75/I75-1,"-")</f>
        <v>0.14311296821369934</v>
      </c>
      <c r="M75" s="197">
        <v>0.67310000000000003</v>
      </c>
      <c r="N75" s="120">
        <f t="shared" ref="N75:N80" si="10">IFERROR(M75/K75-1,"-")</f>
        <v>-0.12127937336814609</v>
      </c>
    </row>
    <row r="76" spans="2:16" x14ac:dyDescent="0.25">
      <c r="B76" s="118" t="s">
        <v>75</v>
      </c>
      <c r="C76" s="197">
        <v>0.6371</v>
      </c>
      <c r="D76" s="120"/>
      <c r="E76" s="197" t="s">
        <v>229</v>
      </c>
      <c r="F76" s="120" t="str">
        <f t="shared" si="8"/>
        <v>-</v>
      </c>
      <c r="G76" s="197" t="s">
        <v>229</v>
      </c>
      <c r="H76" s="120" t="str">
        <f t="shared" si="8"/>
        <v>-</v>
      </c>
      <c r="I76" s="197">
        <v>0.59540000000000004</v>
      </c>
      <c r="J76" s="120" t="str">
        <f t="shared" si="8"/>
        <v>-</v>
      </c>
      <c r="K76" s="197">
        <v>0.72689999999999999</v>
      </c>
      <c r="L76" s="120">
        <f t="shared" si="9"/>
        <v>0.22085992610010075</v>
      </c>
      <c r="M76" s="197">
        <v>0.70459999999999989</v>
      </c>
      <c r="N76" s="120">
        <f t="shared" si="10"/>
        <v>-3.0678222589077042E-2</v>
      </c>
    </row>
    <row r="77" spans="2:16" x14ac:dyDescent="0.25">
      <c r="B77" s="118" t="s">
        <v>77</v>
      </c>
      <c r="C77" s="197">
        <v>0.2162</v>
      </c>
      <c r="D77" s="120"/>
      <c r="E77" s="197" t="s">
        <v>229</v>
      </c>
      <c r="F77" s="120" t="str">
        <f t="shared" si="8"/>
        <v>-</v>
      </c>
      <c r="G77" s="197" t="s">
        <v>229</v>
      </c>
      <c r="H77" s="120" t="str">
        <f t="shared" si="8"/>
        <v>-</v>
      </c>
      <c r="I77" s="197">
        <v>0.64980000000000004</v>
      </c>
      <c r="J77" s="120" t="str">
        <f t="shared" si="8"/>
        <v>-</v>
      </c>
      <c r="K77" s="197">
        <v>0.74239999999999995</v>
      </c>
      <c r="L77" s="120">
        <f t="shared" si="9"/>
        <v>0.14250538627269904</v>
      </c>
      <c r="M77" s="197">
        <v>0.70319999999999994</v>
      </c>
      <c r="N77" s="120">
        <f t="shared" si="10"/>
        <v>-5.280172413793105E-2</v>
      </c>
    </row>
    <row r="78" spans="2:16" x14ac:dyDescent="0.25">
      <c r="B78" s="118" t="s">
        <v>79</v>
      </c>
      <c r="C78" s="197">
        <v>0</v>
      </c>
      <c r="D78" s="120"/>
      <c r="E78" s="197" t="s">
        <v>229</v>
      </c>
      <c r="F78" s="120" t="str">
        <f t="shared" si="8"/>
        <v>-</v>
      </c>
      <c r="G78" s="197" t="s">
        <v>229</v>
      </c>
      <c r="H78" s="120" t="str">
        <f t="shared" si="8"/>
        <v>-</v>
      </c>
      <c r="I78" s="197">
        <v>0.43590000000000001</v>
      </c>
      <c r="J78" s="120" t="str">
        <f t="shared" si="8"/>
        <v>-</v>
      </c>
      <c r="K78" s="197">
        <v>0.5403</v>
      </c>
      <c r="L78" s="120">
        <f t="shared" si="9"/>
        <v>0.23950447350309712</v>
      </c>
      <c r="M78" s="197">
        <v>0.57540000000000002</v>
      </c>
      <c r="N78" s="120">
        <f t="shared" si="10"/>
        <v>6.496390893947801E-2</v>
      </c>
    </row>
    <row r="79" spans="2:16" x14ac:dyDescent="0.25">
      <c r="B79" s="118" t="s">
        <v>81</v>
      </c>
      <c r="C79" s="197">
        <v>0</v>
      </c>
      <c r="D79" s="120"/>
      <c r="E79" s="197" t="s">
        <v>229</v>
      </c>
      <c r="F79" s="120" t="str">
        <f t="shared" si="8"/>
        <v>-</v>
      </c>
      <c r="G79" s="197" t="s">
        <v>229</v>
      </c>
      <c r="H79" s="120" t="str">
        <f t="shared" si="8"/>
        <v>-</v>
      </c>
      <c r="I79" s="197">
        <v>0.48549999999999999</v>
      </c>
      <c r="J79" s="120" t="str">
        <f t="shared" si="8"/>
        <v>-</v>
      </c>
      <c r="K79" s="197">
        <v>0.46200000000000002</v>
      </c>
      <c r="L79" s="120">
        <f t="shared" si="9"/>
        <v>-4.8403707518022587E-2</v>
      </c>
      <c r="M79" s="197">
        <v>0.53539999999999999</v>
      </c>
      <c r="N79" s="120">
        <f t="shared" si="10"/>
        <v>0.15887445887445883</v>
      </c>
    </row>
    <row r="80" spans="2:16" x14ac:dyDescent="0.25">
      <c r="B80" s="118" t="s">
        <v>83</v>
      </c>
      <c r="C80" s="197">
        <v>0</v>
      </c>
      <c r="D80" s="120"/>
      <c r="E80" s="197" t="s">
        <v>229</v>
      </c>
      <c r="F80" s="120" t="str">
        <f t="shared" si="8"/>
        <v>-</v>
      </c>
      <c r="G80" s="197" t="s">
        <v>229</v>
      </c>
      <c r="H80" s="120" t="str">
        <f t="shared" si="8"/>
        <v>-</v>
      </c>
      <c r="I80" s="197">
        <v>0.50790000000000002</v>
      </c>
      <c r="J80" s="120" t="str">
        <f t="shared" si="8"/>
        <v>-</v>
      </c>
      <c r="K80" s="197">
        <v>0.48180000000000001</v>
      </c>
      <c r="L80" s="120">
        <f t="shared" si="9"/>
        <v>-5.1388068517424723E-2</v>
      </c>
      <c r="M80" s="197">
        <v>0.5141</v>
      </c>
      <c r="N80" s="120">
        <f t="shared" si="10"/>
        <v>6.7040265670402555E-2</v>
      </c>
    </row>
    <row r="81" spans="2:14" x14ac:dyDescent="0.25">
      <c r="B81" s="118" t="s">
        <v>85</v>
      </c>
      <c r="C81" s="197">
        <v>0</v>
      </c>
      <c r="D81" s="120"/>
      <c r="E81" s="197" t="s">
        <v>229</v>
      </c>
      <c r="F81" s="120" t="str">
        <f t="shared" si="8"/>
        <v>-</v>
      </c>
      <c r="G81" s="197" t="s">
        <v>229</v>
      </c>
      <c r="H81" s="120" t="str">
        <f t="shared" si="8"/>
        <v>-</v>
      </c>
      <c r="I81" s="197">
        <v>0.47499999999999998</v>
      </c>
      <c r="J81" s="120" t="str">
        <f t="shared" si="8"/>
        <v>-</v>
      </c>
      <c r="K81" s="197">
        <v>0.48810000000000003</v>
      </c>
      <c r="L81" s="120">
        <f t="shared" si="9"/>
        <v>2.7578947368421147E-2</v>
      </c>
      <c r="M81" s="197"/>
      <c r="N81" s="120"/>
    </row>
    <row r="82" spans="2:14" x14ac:dyDescent="0.25">
      <c r="B82" s="118" t="s">
        <v>87</v>
      </c>
      <c r="C82" s="197">
        <v>0.43619999999999998</v>
      </c>
      <c r="D82" s="120"/>
      <c r="E82" s="197" t="s">
        <v>229</v>
      </c>
      <c r="F82" s="120" t="str">
        <f t="shared" si="8"/>
        <v>-</v>
      </c>
      <c r="G82" s="197" t="s">
        <v>229</v>
      </c>
      <c r="H82" s="120" t="str">
        <f t="shared" si="8"/>
        <v>-</v>
      </c>
      <c r="I82" s="197">
        <v>0.46520000000000006</v>
      </c>
      <c r="J82" s="120" t="str">
        <f t="shared" si="8"/>
        <v>-</v>
      </c>
      <c r="K82" s="197">
        <v>0.37380000000000002</v>
      </c>
      <c r="L82" s="120">
        <f t="shared" si="9"/>
        <v>-0.19647463456577818</v>
      </c>
      <c r="M82" s="197"/>
      <c r="N82" s="120"/>
    </row>
    <row r="83" spans="2:14" x14ac:dyDescent="0.25">
      <c r="B83" s="118" t="s">
        <v>89</v>
      </c>
      <c r="C83" s="197">
        <v>0.31670000000000004</v>
      </c>
      <c r="D83" s="120"/>
      <c r="E83" s="197" t="s">
        <v>229</v>
      </c>
      <c r="F83" s="120" t="str">
        <f t="shared" si="8"/>
        <v>-</v>
      </c>
      <c r="G83" s="197" t="s">
        <v>229</v>
      </c>
      <c r="H83" s="120" t="str">
        <f t="shared" si="8"/>
        <v>-</v>
      </c>
      <c r="I83" s="197">
        <v>0.4249</v>
      </c>
      <c r="J83" s="120" t="str">
        <f t="shared" si="8"/>
        <v>-</v>
      </c>
      <c r="K83" s="197">
        <v>0.56969999999999998</v>
      </c>
      <c r="L83" s="120">
        <f t="shared" si="9"/>
        <v>0.3407860673099552</v>
      </c>
      <c r="M83" s="197"/>
      <c r="N83" s="120"/>
    </row>
    <row r="84" spans="2:14" x14ac:dyDescent="0.25">
      <c r="B84" s="118" t="s">
        <v>91</v>
      </c>
      <c r="C84" s="197">
        <v>0.3725</v>
      </c>
      <c r="D84" s="120"/>
      <c r="E84" s="197" t="s">
        <v>229</v>
      </c>
      <c r="F84" s="120" t="str">
        <f t="shared" si="8"/>
        <v>-</v>
      </c>
      <c r="G84" s="197" t="s">
        <v>229</v>
      </c>
      <c r="H84" s="120" t="str">
        <f t="shared" si="8"/>
        <v>-</v>
      </c>
      <c r="I84" s="197">
        <v>0.54320000000000002</v>
      </c>
      <c r="J84" s="120" t="str">
        <f t="shared" si="8"/>
        <v>-</v>
      </c>
      <c r="K84" s="197">
        <v>0.51300000000000001</v>
      </c>
      <c r="L84" s="120">
        <f t="shared" si="9"/>
        <v>-5.5596465390279848E-2</v>
      </c>
      <c r="M84" s="197"/>
      <c r="N84" s="120"/>
    </row>
    <row r="85" spans="2:14" x14ac:dyDescent="0.25">
      <c r="B85" s="118" t="s">
        <v>93</v>
      </c>
      <c r="C85" s="197">
        <v>0.31240000000000001</v>
      </c>
      <c r="D85" s="120"/>
      <c r="E85" s="197" t="s">
        <v>229</v>
      </c>
      <c r="F85" s="120" t="str">
        <f t="shared" si="8"/>
        <v>-</v>
      </c>
      <c r="G85" s="197" t="s">
        <v>229</v>
      </c>
      <c r="H85" s="120" t="str">
        <f t="shared" si="8"/>
        <v>-</v>
      </c>
      <c r="I85" s="197">
        <v>0.65260000000000007</v>
      </c>
      <c r="J85" s="120" t="str">
        <f t="shared" si="8"/>
        <v>-</v>
      </c>
      <c r="K85" s="197">
        <v>0.65959999999999996</v>
      </c>
      <c r="L85" s="120">
        <f t="shared" si="9"/>
        <v>1.0726325467361075E-2</v>
      </c>
      <c r="M85" s="197"/>
      <c r="N85" s="120"/>
    </row>
    <row r="86" spans="2:14" x14ac:dyDescent="0.25">
      <c r="B86" s="118" t="s">
        <v>95</v>
      </c>
      <c r="C86" s="197">
        <v>0.27960000000000002</v>
      </c>
      <c r="D86" s="120"/>
      <c r="E86" s="197" t="s">
        <v>229</v>
      </c>
      <c r="F86" s="120" t="str">
        <f t="shared" si="8"/>
        <v>-</v>
      </c>
      <c r="G86" s="197" t="s">
        <v>229</v>
      </c>
      <c r="H86" s="120" t="str">
        <f t="shared" si="8"/>
        <v>-</v>
      </c>
      <c r="I86" s="197">
        <v>0.62020000000000008</v>
      </c>
      <c r="J86" s="120" t="str">
        <f t="shared" si="8"/>
        <v>-</v>
      </c>
      <c r="K86" s="197">
        <v>0.69440000000000002</v>
      </c>
      <c r="L86" s="120">
        <f t="shared" si="9"/>
        <v>0.11963882618510135</v>
      </c>
      <c r="M86" s="197"/>
      <c r="N86" s="120"/>
    </row>
    <row r="87" spans="2:14" ht="15.75" x14ac:dyDescent="0.25">
      <c r="B87" s="121" t="s">
        <v>32</v>
      </c>
      <c r="C87" s="199">
        <v>0.40079999999999999</v>
      </c>
      <c r="D87" s="123">
        <v>-0.18719686343433684</v>
      </c>
      <c r="E87" s="199">
        <v>0.4506</v>
      </c>
      <c r="F87" s="123">
        <v>0.12425149700598803</v>
      </c>
      <c r="G87" s="199">
        <v>0.55989999999999995</v>
      </c>
      <c r="H87" s="123">
        <v>0.24256546826453618</v>
      </c>
      <c r="I87" s="199">
        <v>0.54569999999999996</v>
      </c>
      <c r="J87" s="123">
        <v>-2.5361671727094137E-2</v>
      </c>
      <c r="K87" s="199">
        <v>0.58483333333333343</v>
      </c>
      <c r="L87" s="123">
        <v>7.1630172332453945E-2</v>
      </c>
      <c r="M87" s="201"/>
      <c r="N87" s="202"/>
    </row>
    <row r="88" spans="2:14" ht="6" customHeight="1" x14ac:dyDescent="0.25"/>
    <row r="89" spans="2:14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</sheetData>
  <mergeCells count="30">
    <mergeCell ref="O21:O24"/>
    <mergeCell ref="B26:N26"/>
    <mergeCell ref="C28:N28"/>
    <mergeCell ref="B48:N48"/>
    <mergeCell ref="C50:N50"/>
    <mergeCell ref="C29:D29"/>
    <mergeCell ref="E29:F29"/>
    <mergeCell ref="G29:H29"/>
    <mergeCell ref="I29:J29"/>
    <mergeCell ref="K29:L29"/>
    <mergeCell ref="B4:N4"/>
    <mergeCell ref="C6:N6"/>
    <mergeCell ref="C7:D7"/>
    <mergeCell ref="E7:F7"/>
    <mergeCell ref="G7:H7"/>
    <mergeCell ref="I7:J7"/>
    <mergeCell ref="K7:L7"/>
    <mergeCell ref="M7:N7"/>
    <mergeCell ref="G51:H51"/>
    <mergeCell ref="I51:J51"/>
    <mergeCell ref="K51:L51"/>
    <mergeCell ref="C73:D73"/>
    <mergeCell ref="E73:F73"/>
    <mergeCell ref="G73:H73"/>
    <mergeCell ref="I73:J73"/>
    <mergeCell ref="K73:L73"/>
    <mergeCell ref="C72:N72"/>
    <mergeCell ref="B70:N70"/>
    <mergeCell ref="C51:D51"/>
    <mergeCell ref="E51:F51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62AD25-7BF3-40B5-8CB9-6A1CC87701B2}">
  <sheetPr>
    <tabColor theme="2" tint="-0.499984740745262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08A7A4-A7A5-464B-A969-24348E317EAD}">
  <sheetPr>
    <tabColor theme="2" tint="-9.9978637043366805E-2"/>
  </sheetPr>
  <dimension ref="B1:AW44"/>
  <sheetViews>
    <sheetView showGridLines="0" workbookViewId="0"/>
  </sheetViews>
  <sheetFormatPr baseColWidth="10" defaultRowHeight="15" x14ac:dyDescent="0.25"/>
  <cols>
    <col min="1" max="1" width="15.5703125" customWidth="1"/>
    <col min="2" max="2" width="24" customWidth="1"/>
    <col min="3" max="3" width="13.42578125" customWidth="1"/>
    <col min="4" max="4" width="16" customWidth="1"/>
    <col min="5" max="5" width="18.42578125" customWidth="1"/>
    <col min="6" max="6" width="15.42578125" customWidth="1"/>
    <col min="7" max="7" width="16.42578125" customWidth="1"/>
    <col min="8" max="8" width="16" customWidth="1"/>
    <col min="9" max="9" width="11" customWidth="1"/>
    <col min="10" max="10" width="13.85546875" customWidth="1"/>
    <col min="11" max="11" width="11" customWidth="1"/>
    <col min="12" max="14" width="11.42578125" customWidth="1"/>
    <col min="16" max="16" width="25" customWidth="1"/>
    <col min="17" max="17" width="11.28515625" customWidth="1"/>
    <col min="18" max="18" width="14.85546875" customWidth="1"/>
    <col min="19" max="19" width="14.42578125" customWidth="1"/>
    <col min="20" max="21" width="14.28515625" customWidth="1"/>
    <col min="22" max="22" width="14.42578125" customWidth="1"/>
    <col min="23" max="23" width="15" customWidth="1"/>
    <col min="24" max="24" width="11.42578125" customWidth="1"/>
    <col min="25" max="25" width="14.85546875" customWidth="1"/>
    <col min="26" max="26" width="11.42578125" customWidth="1"/>
    <col min="27" max="27" width="12.42578125" customWidth="1"/>
    <col min="28" max="28" width="10.85546875" customWidth="1"/>
    <col min="29" max="29" width="9.85546875" customWidth="1"/>
    <col min="30" max="30" width="14.5703125" customWidth="1"/>
    <col min="31" max="31" width="28.42578125" customWidth="1"/>
    <col min="32" max="36" width="17.7109375" customWidth="1"/>
    <col min="37" max="37" width="9.28515625" customWidth="1"/>
    <col min="38" max="38" width="14.140625" customWidth="1"/>
    <col min="39" max="39" width="7.85546875" customWidth="1"/>
    <col min="40" max="44" width="14.42578125" hidden="1" customWidth="1"/>
    <col min="45" max="45" width="9.85546875" hidden="1" customWidth="1"/>
    <col min="46" max="46" width="13" hidden="1" customWidth="1"/>
    <col min="47" max="47" width="9.5703125" hidden="1" customWidth="1"/>
    <col min="48" max="48" width="11.85546875" hidden="1" customWidth="1"/>
    <col min="49" max="49" width="9" hidden="1" customWidth="1"/>
  </cols>
  <sheetData>
    <row r="1" spans="2:48" ht="42.75" customHeight="1" x14ac:dyDescent="0.25"/>
    <row r="3" spans="2:48" x14ac:dyDescent="0.25">
      <c r="N3" s="204"/>
    </row>
    <row r="5" spans="2:48" ht="50.25" customHeight="1" thickBot="1" x14ac:dyDescent="0.3">
      <c r="B5" s="278" t="s">
        <v>162</v>
      </c>
      <c r="C5" s="278"/>
      <c r="D5" s="278"/>
      <c r="E5" s="278"/>
      <c r="F5" s="278"/>
      <c r="G5" s="278"/>
      <c r="H5" s="278"/>
      <c r="I5" s="278"/>
      <c r="J5" s="278"/>
      <c r="K5" s="278"/>
      <c r="L5" s="278"/>
      <c r="M5" s="278"/>
      <c r="N5" s="278"/>
      <c r="P5" s="278" t="s">
        <v>163</v>
      </c>
      <c r="Q5" s="278"/>
      <c r="R5" s="278"/>
      <c r="S5" s="278"/>
      <c r="T5" s="278"/>
      <c r="U5" s="278"/>
      <c r="V5" s="278"/>
      <c r="W5" s="278"/>
      <c r="X5" s="278"/>
      <c r="Y5" s="278"/>
      <c r="Z5" s="278"/>
      <c r="AA5" s="278"/>
      <c r="AB5" s="278"/>
      <c r="AD5" s="278" t="s">
        <v>164</v>
      </c>
      <c r="AE5" s="278"/>
      <c r="AF5" s="278"/>
      <c r="AG5" s="278"/>
      <c r="AH5" s="278"/>
      <c r="AI5" s="278"/>
      <c r="AJ5" s="278"/>
      <c r="AK5" s="278"/>
      <c r="AL5" s="278"/>
      <c r="AM5" s="278"/>
      <c r="AN5" s="278"/>
      <c r="AO5" s="278"/>
      <c r="AP5" s="278"/>
      <c r="AQ5" s="278"/>
      <c r="AR5" s="278"/>
      <c r="AS5" s="278"/>
      <c r="AT5" s="278"/>
      <c r="AU5" s="145"/>
      <c r="AV5" s="145"/>
    </row>
    <row r="6" spans="2:48" ht="6" customHeight="1" thickBot="1" x14ac:dyDescent="0.3">
      <c r="B6" s="85"/>
      <c r="C6" s="85"/>
      <c r="D6" s="85"/>
      <c r="E6" s="85"/>
      <c r="F6" s="85"/>
      <c r="G6" s="85"/>
      <c r="H6" s="85"/>
      <c r="I6" s="85"/>
      <c r="J6" s="85"/>
      <c r="K6" s="85"/>
      <c r="L6" s="85"/>
      <c r="M6" s="86"/>
      <c r="N6" s="86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6"/>
      <c r="AB6" s="86"/>
      <c r="AD6" s="86"/>
      <c r="AE6" s="86"/>
      <c r="AF6" s="86"/>
      <c r="AG6" s="86"/>
      <c r="AH6" s="86"/>
      <c r="AI6" s="86"/>
      <c r="AJ6" s="86"/>
      <c r="AK6" s="86"/>
      <c r="AL6" s="86"/>
      <c r="AM6" s="86"/>
      <c r="AN6" s="86"/>
      <c r="AO6" s="86"/>
      <c r="AP6" s="86"/>
      <c r="AQ6" s="86"/>
      <c r="AR6" s="86"/>
      <c r="AS6" s="86"/>
      <c r="AT6" s="86"/>
      <c r="AU6" s="86"/>
      <c r="AV6" s="86"/>
    </row>
    <row r="7" spans="2:48" ht="51.75" customHeight="1" thickBot="1" x14ac:dyDescent="0.3">
      <c r="B7" s="87"/>
      <c r="C7" s="205" t="s">
        <v>260</v>
      </c>
      <c r="D7" s="205" t="s">
        <v>261</v>
      </c>
      <c r="E7" s="205" t="s">
        <v>262</v>
      </c>
      <c r="F7" s="92" t="s">
        <v>263</v>
      </c>
      <c r="G7" s="92" t="s">
        <v>264</v>
      </c>
      <c r="H7" s="14" t="str">
        <f>CONCATENATE("var. ",RIGHT(G7,2),"/",RIGHT(F7,2))</f>
        <v>var. 25/24</v>
      </c>
      <c r="I7" s="205" t="s">
        <v>224</v>
      </c>
      <c r="J7" s="206" t="s">
        <v>225</v>
      </c>
      <c r="K7" s="206" t="s">
        <v>226</v>
      </c>
      <c r="L7" s="13" t="s">
        <v>227</v>
      </c>
      <c r="M7" s="13" t="s">
        <v>228</v>
      </c>
      <c r="N7" s="14" t="str">
        <f>CONCATENATE("var. ",RIGHT(M7,2),"/",RIGHT(L7,2))</f>
        <v>var. 25/24</v>
      </c>
      <c r="P7" s="87"/>
      <c r="Q7" s="205" t="s">
        <v>260</v>
      </c>
      <c r="R7" s="206" t="s">
        <v>261</v>
      </c>
      <c r="S7" s="206" t="s">
        <v>262</v>
      </c>
      <c r="T7" s="92" t="s">
        <v>263</v>
      </c>
      <c r="U7" s="92" t="s">
        <v>264</v>
      </c>
      <c r="V7" s="14" t="str">
        <f>CONCATENATE("var. ",RIGHT(U7,2),"/",RIGHT(T7,2))</f>
        <v>var. 25/24</v>
      </c>
      <c r="W7" s="205" t="s">
        <v>224</v>
      </c>
      <c r="X7" s="205" t="s">
        <v>225</v>
      </c>
      <c r="Y7" s="205" t="s">
        <v>226</v>
      </c>
      <c r="Z7" s="13" t="s">
        <v>227</v>
      </c>
      <c r="AA7" s="13" t="s">
        <v>228</v>
      </c>
      <c r="AB7" s="14" t="str">
        <f>CONCATENATE("var. ",RIGHT(AA7,2),"/",RIGHT(Z7,2))</f>
        <v>var. 25/24</v>
      </c>
      <c r="AD7" s="87"/>
      <c r="AE7" s="205" t="s">
        <v>260</v>
      </c>
      <c r="AF7" s="206" t="s">
        <v>261</v>
      </c>
      <c r="AG7" s="206" t="s">
        <v>262</v>
      </c>
      <c r="AH7" s="92" t="s">
        <v>263</v>
      </c>
      <c r="AI7" s="92" t="s">
        <v>264</v>
      </c>
      <c r="AJ7" s="14" t="str">
        <f>CONCATENATE("var. ",RIGHT(AI7,2),"/",RIGHT(AH7,2))</f>
        <v>var. 25/24</v>
      </c>
      <c r="AK7" s="207" t="str">
        <f>CONCATENATE("dif. ",RIGHT(AI7,2),"/",RIGHT(AH7,2))</f>
        <v>dif. 25/24</v>
      </c>
      <c r="AL7" s="208" t="str">
        <f>CONCATENATE("cuota ",RIGHT(AI7,2))</f>
        <v>cuota 25</v>
      </c>
      <c r="AM7" s="205" t="s">
        <v>224</v>
      </c>
      <c r="AN7" s="206" t="s">
        <v>225</v>
      </c>
      <c r="AO7" s="206" t="s">
        <v>226</v>
      </c>
      <c r="AP7" s="13" t="s">
        <v>227</v>
      </c>
      <c r="AQ7" s="13" t="s">
        <v>228</v>
      </c>
      <c r="AR7" s="14" t="str">
        <f>CONCATENATE("var. ",RIGHT(AQ7,2),"/",RIGHT(AP7,2))</f>
        <v>var. 25/24</v>
      </c>
      <c r="AS7" s="207" t="str">
        <f>CONCATENATE("dif. ",RIGHT(AQ7,2),"/",RIGHT(AP7,2))</f>
        <v>dif. 25/24</v>
      </c>
      <c r="AT7" s="207" t="str">
        <f>CONCATENATE("var. ",RIGHT(AQ7,2),"/",RIGHT(AM7,2))</f>
        <v>var. 25/21</v>
      </c>
      <c r="AU7" s="207" t="str">
        <f>CONCATENATE("dif. ",RIGHT(AQ7,2),"/",RIGHT(AM7,2))</f>
        <v>dif. 25/21</v>
      </c>
      <c r="AV7" s="208" t="str">
        <f>CONCATENATE("cuota ",RIGHT(AQ7,2))</f>
        <v>cuota 25</v>
      </c>
    </row>
    <row r="8" spans="2:48" ht="15.75" x14ac:dyDescent="0.25">
      <c r="B8" s="209" t="s">
        <v>45</v>
      </c>
      <c r="C8" s="210">
        <v>88.170299717778292</v>
      </c>
      <c r="D8" s="211">
        <v>103.30240145428506</v>
      </c>
      <c r="E8" s="211">
        <v>109.01802178056315</v>
      </c>
      <c r="F8" s="212">
        <v>121.33314990732903</v>
      </c>
      <c r="G8" s="211">
        <v>129.74984519207322</v>
      </c>
      <c r="H8" s="135">
        <f>G8/F8-1</f>
        <v>6.9368472599389719E-2</v>
      </c>
      <c r="I8" s="210">
        <v>84.78</v>
      </c>
      <c r="J8" s="213">
        <v>91.84</v>
      </c>
      <c r="K8" s="213">
        <v>96.36</v>
      </c>
      <c r="L8" s="213">
        <v>102.74</v>
      </c>
      <c r="M8" s="213">
        <v>110.43</v>
      </c>
      <c r="N8" s="135">
        <f t="shared" ref="N8:N18" si="0">M8/L8-1</f>
        <v>7.4849133735643392E-2</v>
      </c>
      <c r="P8" s="209" t="s">
        <v>45</v>
      </c>
      <c r="Q8" s="210">
        <v>25.592201716222139</v>
      </c>
      <c r="R8" s="212">
        <v>74.674627584102581</v>
      </c>
      <c r="S8" s="212">
        <v>88.097104392548786</v>
      </c>
      <c r="T8" s="212">
        <v>100.76305205179261</v>
      </c>
      <c r="U8" s="212">
        <v>106.80173966572626</v>
      </c>
      <c r="V8" s="135">
        <f t="shared" ref="V8:V18" si="1">U8/T8-1</f>
        <v>5.9929582232480794E-2</v>
      </c>
      <c r="W8" s="210">
        <v>28.85</v>
      </c>
      <c r="X8" s="213">
        <v>66.599999999999994</v>
      </c>
      <c r="Y8" s="213">
        <v>73.930000000000007</v>
      </c>
      <c r="Z8" s="213">
        <v>80.430000000000007</v>
      </c>
      <c r="AA8" s="213">
        <v>87.95</v>
      </c>
      <c r="AB8" s="135">
        <f t="shared" ref="AB8:AB18" si="2">AA8/Z8-1</f>
        <v>9.3497451199801018E-2</v>
      </c>
      <c r="AD8" s="67" t="s">
        <v>45</v>
      </c>
      <c r="AE8" s="214">
        <v>102414599.43000001</v>
      </c>
      <c r="AF8" s="134">
        <v>693903416.16999984</v>
      </c>
      <c r="AG8" s="134">
        <v>842303158.99000001</v>
      </c>
      <c r="AH8" s="134">
        <v>973842751.17000008</v>
      </c>
      <c r="AI8" s="134">
        <v>1018934968.5399998</v>
      </c>
      <c r="AJ8" s="135">
        <f t="shared" ref="AJ8:AJ18" si="3">AI8/AH8-1</f>
        <v>4.6303386574295224E-2</v>
      </c>
      <c r="AK8" s="134">
        <f t="shared" ref="AK8:AK18" si="4">AI8-AH8</f>
        <v>45092217.369999766</v>
      </c>
      <c r="AL8" s="136">
        <f t="shared" ref="AL8:AL18" si="5">AI8/AI$8</f>
        <v>1</v>
      </c>
      <c r="AM8" s="215">
        <v>26576630.170000002</v>
      </c>
      <c r="AN8" s="216">
        <v>104515188.78</v>
      </c>
      <c r="AO8" s="216">
        <v>115764505.8</v>
      </c>
      <c r="AP8" s="216">
        <v>127826393.23</v>
      </c>
      <c r="AQ8" s="216">
        <v>137162383.41</v>
      </c>
      <c r="AR8" s="135">
        <f t="shared" ref="AR8:AR18" si="6">AQ8/AP8-1</f>
        <v>7.3036482874093256E-2</v>
      </c>
      <c r="AS8" s="134">
        <f t="shared" ref="AS8:AS18" si="7">AQ8-AP8</f>
        <v>9335990.1799999923</v>
      </c>
      <c r="AT8" s="135">
        <f t="shared" ref="AT8:AT18" si="8">AQ8/AM8-1</f>
        <v>4.1610148665435558</v>
      </c>
      <c r="AU8" s="134">
        <f t="shared" ref="AU8:AU18" si="9">AQ8-AM8</f>
        <v>110585753.23999999</v>
      </c>
      <c r="AV8" s="136">
        <f t="shared" ref="AV8:AV18" si="10">AQ8/AQ$8</f>
        <v>1</v>
      </c>
    </row>
    <row r="9" spans="2:48" x14ac:dyDescent="0.25">
      <c r="B9" s="15" t="s">
        <v>46</v>
      </c>
      <c r="C9" s="217">
        <v>116.79915879756359</v>
      </c>
      <c r="D9" s="218">
        <v>128.16968230621981</v>
      </c>
      <c r="E9" s="218">
        <v>133.9504987964448</v>
      </c>
      <c r="F9" s="218">
        <v>148.00625670905251</v>
      </c>
      <c r="G9" s="218">
        <v>156.82466524486964</v>
      </c>
      <c r="H9" s="76">
        <f>G9/F9-1</f>
        <v>5.9581322654164381E-2</v>
      </c>
      <c r="I9" s="217">
        <v>109.86</v>
      </c>
      <c r="J9" s="218">
        <v>108.9</v>
      </c>
      <c r="K9" s="218">
        <v>112.49</v>
      </c>
      <c r="L9" s="218">
        <v>119.26</v>
      </c>
      <c r="M9" s="218">
        <v>126.95</v>
      </c>
      <c r="N9" s="76">
        <f t="shared" si="0"/>
        <v>6.4480965956733138E-2</v>
      </c>
      <c r="P9" s="15" t="s">
        <v>46</v>
      </c>
      <c r="Q9" s="217">
        <v>34.813065255223663</v>
      </c>
      <c r="R9" s="218">
        <v>100.38866208640722</v>
      </c>
      <c r="S9" s="218">
        <v>113.81372001310794</v>
      </c>
      <c r="T9" s="218">
        <v>126.61317857187616</v>
      </c>
      <c r="U9" s="218">
        <v>133.99122886987229</v>
      </c>
      <c r="V9" s="76">
        <f t="shared" si="1"/>
        <v>5.8272372443503029E-2</v>
      </c>
      <c r="W9" s="217">
        <v>35.590000000000003</v>
      </c>
      <c r="X9" s="218">
        <v>87.91</v>
      </c>
      <c r="Y9" s="218">
        <v>91.44</v>
      </c>
      <c r="Z9" s="218">
        <v>96.77</v>
      </c>
      <c r="AA9" s="218">
        <v>104.28</v>
      </c>
      <c r="AB9" s="76">
        <f t="shared" si="2"/>
        <v>7.7606696290172694E-2</v>
      </c>
      <c r="AD9" s="15" t="s">
        <v>46</v>
      </c>
      <c r="AE9" s="219">
        <v>50893974.420000002</v>
      </c>
      <c r="AF9" s="53">
        <v>341076461.69999999</v>
      </c>
      <c r="AG9" s="53">
        <v>405004656.38</v>
      </c>
      <c r="AH9" s="53">
        <v>456851402.87</v>
      </c>
      <c r="AI9" s="53">
        <v>457309421.34000003</v>
      </c>
      <c r="AJ9" s="76">
        <f t="shared" si="3"/>
        <v>1.0025545880403275E-3</v>
      </c>
      <c r="AK9" s="53">
        <f t="shared" si="4"/>
        <v>458018.47000002861</v>
      </c>
      <c r="AL9" s="100">
        <f t="shared" si="5"/>
        <v>0.44881119547331311</v>
      </c>
      <c r="AM9" s="220">
        <v>13811598.32</v>
      </c>
      <c r="AN9" s="221">
        <v>50518902.770000003</v>
      </c>
      <c r="AO9" s="221">
        <v>53856748.710000001</v>
      </c>
      <c r="AP9" s="221">
        <v>57107925.619999997</v>
      </c>
      <c r="AQ9" s="221">
        <v>58079831.289999999</v>
      </c>
      <c r="AR9" s="76">
        <f t="shared" si="6"/>
        <v>1.7018752816677862E-2</v>
      </c>
      <c r="AS9" s="53">
        <f t="shared" si="7"/>
        <v>971905.67000000179</v>
      </c>
      <c r="AT9" s="76">
        <f t="shared" si="8"/>
        <v>3.2051491756675992</v>
      </c>
      <c r="AU9" s="53">
        <f t="shared" si="9"/>
        <v>44268232.969999999</v>
      </c>
      <c r="AV9" s="100">
        <f t="shared" si="10"/>
        <v>0.42343848106218906</v>
      </c>
    </row>
    <row r="10" spans="2:48" x14ac:dyDescent="0.25">
      <c r="B10" s="19" t="s">
        <v>47</v>
      </c>
      <c r="C10" s="217">
        <v>70.363907918346442</v>
      </c>
      <c r="D10" s="218">
        <v>90.186274774165184</v>
      </c>
      <c r="E10" s="218">
        <v>97.435368027940271</v>
      </c>
      <c r="F10" s="218">
        <v>110.80486293822659</v>
      </c>
      <c r="G10" s="218">
        <v>121.5628190164777</v>
      </c>
      <c r="H10" s="76">
        <f>G10/F10-1</f>
        <v>9.7089205229635489E-2</v>
      </c>
      <c r="I10" s="217">
        <v>75.25</v>
      </c>
      <c r="J10" s="218">
        <v>82.37</v>
      </c>
      <c r="K10" s="218">
        <v>85.86</v>
      </c>
      <c r="L10" s="218">
        <v>95.05</v>
      </c>
      <c r="M10" s="218">
        <v>109.41</v>
      </c>
      <c r="N10" s="76">
        <f t="shared" si="0"/>
        <v>0.15107837980010519</v>
      </c>
      <c r="P10" s="19" t="s">
        <v>47</v>
      </c>
      <c r="Q10" s="217">
        <v>15.504874326042231</v>
      </c>
      <c r="R10" s="218">
        <v>64.492185477197467</v>
      </c>
      <c r="S10" s="218">
        <v>79.023903014834957</v>
      </c>
      <c r="T10" s="218">
        <v>93.057468059099534</v>
      </c>
      <c r="U10" s="218">
        <v>99.148455774094288</v>
      </c>
      <c r="V10" s="76">
        <f t="shared" si="1"/>
        <v>6.5454045140433514E-2</v>
      </c>
      <c r="W10" s="217">
        <v>20.54</v>
      </c>
      <c r="X10" s="218">
        <v>56.58</v>
      </c>
      <c r="Y10" s="218">
        <v>66.78</v>
      </c>
      <c r="Z10" s="218">
        <v>77.98</v>
      </c>
      <c r="AA10" s="218">
        <v>88.08</v>
      </c>
      <c r="AB10" s="76">
        <f t="shared" si="2"/>
        <v>0.12952038984354952</v>
      </c>
      <c r="AD10" s="19" t="s">
        <v>47</v>
      </c>
      <c r="AE10" s="219">
        <v>14996431.93</v>
      </c>
      <c r="AF10" s="53">
        <v>167057258.52000001</v>
      </c>
      <c r="AG10" s="53">
        <v>204644899.53999999</v>
      </c>
      <c r="AH10" s="53">
        <v>242621119.71999997</v>
      </c>
      <c r="AI10" s="53">
        <v>260448896.86999997</v>
      </c>
      <c r="AJ10" s="76">
        <f t="shared" si="3"/>
        <v>7.3479906327093003E-2</v>
      </c>
      <c r="AK10" s="53">
        <f t="shared" si="4"/>
        <v>17827777.150000006</v>
      </c>
      <c r="AL10" s="100">
        <f t="shared" si="5"/>
        <v>0.2556089494535545</v>
      </c>
      <c r="AM10" s="220">
        <v>4243374.21</v>
      </c>
      <c r="AN10" s="221">
        <v>25427736.440000001</v>
      </c>
      <c r="AO10" s="221">
        <v>28251913.699999999</v>
      </c>
      <c r="AP10" s="221">
        <v>33085419.030000001</v>
      </c>
      <c r="AQ10" s="221">
        <v>37909065.140000001</v>
      </c>
      <c r="AR10" s="76">
        <f t="shared" si="6"/>
        <v>0.14579371370893579</v>
      </c>
      <c r="AS10" s="53">
        <f t="shared" si="7"/>
        <v>4823646.1099999994</v>
      </c>
      <c r="AT10" s="76">
        <f t="shared" si="8"/>
        <v>7.9337077674325602</v>
      </c>
      <c r="AU10" s="53">
        <f t="shared" si="9"/>
        <v>33665690.93</v>
      </c>
      <c r="AV10" s="100">
        <f t="shared" si="10"/>
        <v>0.27638091579878593</v>
      </c>
    </row>
    <row r="11" spans="2:48" x14ac:dyDescent="0.25">
      <c r="B11" s="19" t="s">
        <v>48</v>
      </c>
      <c r="C11" s="217">
        <v>54.631535318542078</v>
      </c>
      <c r="D11" s="218">
        <v>69.221944341059583</v>
      </c>
      <c r="E11" s="218">
        <v>77.390865272066776</v>
      </c>
      <c r="F11" s="218">
        <v>83.168905820996486</v>
      </c>
      <c r="G11" s="218">
        <v>100.59393339934179</v>
      </c>
      <c r="H11" s="76">
        <f>G11/F11-1</f>
        <v>0.20951372879485763</v>
      </c>
      <c r="I11" s="217">
        <v>55.36</v>
      </c>
      <c r="J11" s="218">
        <v>70.209999999999994</v>
      </c>
      <c r="K11" s="218">
        <v>72.040000000000006</v>
      </c>
      <c r="L11" s="218">
        <v>63.51</v>
      </c>
      <c r="M11" s="218">
        <v>84.57</v>
      </c>
      <c r="N11" s="76">
        <f t="shared" si="0"/>
        <v>0.33160132262635789</v>
      </c>
      <c r="P11" s="19" t="s">
        <v>48</v>
      </c>
      <c r="Q11" s="217">
        <v>19.46281396587943</v>
      </c>
      <c r="R11" s="218">
        <v>48.249262525145575</v>
      </c>
      <c r="S11" s="218">
        <v>51.596633203900886</v>
      </c>
      <c r="T11" s="218">
        <v>60.101014809836897</v>
      </c>
      <c r="U11" s="218">
        <v>67.609231601192363</v>
      </c>
      <c r="V11" s="76">
        <f t="shared" si="1"/>
        <v>0.12492662253893538</v>
      </c>
      <c r="W11" s="217">
        <v>20.21</v>
      </c>
      <c r="X11" s="218">
        <v>42.36</v>
      </c>
      <c r="Y11" s="218">
        <v>34.99</v>
      </c>
      <c r="Z11" s="218">
        <v>41.32</v>
      </c>
      <c r="AA11" s="218">
        <v>51.65</v>
      </c>
      <c r="AB11" s="76">
        <f t="shared" si="2"/>
        <v>0.25</v>
      </c>
      <c r="AD11" s="19" t="s">
        <v>48</v>
      </c>
      <c r="AE11" s="219">
        <v>920075.77</v>
      </c>
      <c r="AF11" s="53">
        <v>3518003.8000000003</v>
      </c>
      <c r="AG11" s="53">
        <v>4202675.6400000006</v>
      </c>
      <c r="AH11" s="53">
        <v>4788709.37</v>
      </c>
      <c r="AI11" s="53">
        <v>5527320.1400000006</v>
      </c>
      <c r="AJ11" s="76">
        <f t="shared" si="3"/>
        <v>0.15424004944363556</v>
      </c>
      <c r="AK11" s="53">
        <f t="shared" si="4"/>
        <v>738610.77000000048</v>
      </c>
      <c r="AL11" s="100">
        <f t="shared" si="5"/>
        <v>5.4246054072714031E-3</v>
      </c>
      <c r="AM11" s="220">
        <v>235252.28</v>
      </c>
      <c r="AN11" s="221">
        <v>521022.8</v>
      </c>
      <c r="AO11" s="221">
        <v>472382.11</v>
      </c>
      <c r="AP11" s="221">
        <v>466124.03</v>
      </c>
      <c r="AQ11" s="221">
        <v>700422.43</v>
      </c>
      <c r="AR11" s="76">
        <f t="shared" si="6"/>
        <v>0.50265248071419966</v>
      </c>
      <c r="AS11" s="53">
        <f t="shared" si="7"/>
        <v>234298.40000000002</v>
      </c>
      <c r="AT11" s="76">
        <f t="shared" si="8"/>
        <v>1.9773247256094608</v>
      </c>
      <c r="AU11" s="53">
        <f t="shared" si="9"/>
        <v>465170.15</v>
      </c>
      <c r="AV11" s="100">
        <f t="shared" si="10"/>
        <v>5.1065198240710574E-3</v>
      </c>
    </row>
    <row r="12" spans="2:48" x14ac:dyDescent="0.25">
      <c r="B12" s="19" t="s">
        <v>49</v>
      </c>
      <c r="C12" s="217">
        <v>153.1123081362947</v>
      </c>
      <c r="D12" s="218">
        <v>231.92065189955579</v>
      </c>
      <c r="E12" s="218">
        <v>176.14952506564174</v>
      </c>
      <c r="F12" s="218">
        <v>192.70239433655183</v>
      </c>
      <c r="G12" s="218">
        <v>207.258966031477</v>
      </c>
      <c r="H12" s="76">
        <f t="shared" ref="H12:H18" si="11">G12/F12-1</f>
        <v>7.5539132479601312E-2</v>
      </c>
      <c r="I12" s="217">
        <v>139.72999999999999</v>
      </c>
      <c r="J12" s="218">
        <v>207.23</v>
      </c>
      <c r="K12" s="218">
        <v>234.27</v>
      </c>
      <c r="L12" s="218">
        <v>175.2</v>
      </c>
      <c r="M12" s="218">
        <v>156.80000000000001</v>
      </c>
      <c r="N12" s="76">
        <f t="shared" si="0"/>
        <v>-0.10502283105022814</v>
      </c>
      <c r="P12" s="19" t="s">
        <v>49</v>
      </c>
      <c r="Q12" s="217">
        <v>33.116282639598495</v>
      </c>
      <c r="R12" s="218">
        <v>114.31554273131576</v>
      </c>
      <c r="S12" s="218">
        <v>94.862670670321009</v>
      </c>
      <c r="T12" s="218">
        <v>116.86476937166447</v>
      </c>
      <c r="U12" s="218">
        <v>153.08226913762255</v>
      </c>
      <c r="V12" s="76">
        <f t="shared" si="1"/>
        <v>0.30990947879917297</v>
      </c>
      <c r="W12" s="217">
        <v>17.010000000000002</v>
      </c>
      <c r="X12" s="218">
        <v>98.01</v>
      </c>
      <c r="Y12" s="218">
        <v>109.27</v>
      </c>
      <c r="Z12" s="218">
        <v>69.959999999999994</v>
      </c>
      <c r="AA12" s="218">
        <v>116.22</v>
      </c>
      <c r="AB12" s="76">
        <f t="shared" si="2"/>
        <v>0.66123499142367081</v>
      </c>
      <c r="AD12" s="19" t="s">
        <v>49</v>
      </c>
      <c r="AE12" s="219">
        <v>7319252.9700000007</v>
      </c>
      <c r="AF12" s="53">
        <v>33638506.18</v>
      </c>
      <c r="AG12" s="53">
        <v>27653391.800000001</v>
      </c>
      <c r="AH12" s="53">
        <v>25657389.859999999</v>
      </c>
      <c r="AI12" s="53">
        <v>46826416.620000005</v>
      </c>
      <c r="AJ12" s="76">
        <f t="shared" si="3"/>
        <v>0.82506548310288674</v>
      </c>
      <c r="AK12" s="53">
        <f t="shared" si="4"/>
        <v>21169026.760000005</v>
      </c>
      <c r="AL12" s="100">
        <f t="shared" si="5"/>
        <v>4.5956236723425165E-2</v>
      </c>
      <c r="AM12" s="220">
        <v>623222.53</v>
      </c>
      <c r="AN12" s="221">
        <v>4854322.93</v>
      </c>
      <c r="AO12" s="221">
        <v>5018559.3600000003</v>
      </c>
      <c r="AP12" s="221">
        <v>2940252.89</v>
      </c>
      <c r="AQ12" s="221">
        <v>5892147.4500000002</v>
      </c>
      <c r="AR12" s="76">
        <f t="shared" si="6"/>
        <v>1.0039594111239865</v>
      </c>
      <c r="AS12" s="53">
        <f t="shared" si="7"/>
        <v>2951894.56</v>
      </c>
      <c r="AT12" s="76">
        <f t="shared" si="8"/>
        <v>8.4543235624039461</v>
      </c>
      <c r="AU12" s="53">
        <f t="shared" si="9"/>
        <v>5268924.92</v>
      </c>
      <c r="AV12" s="100">
        <f t="shared" si="10"/>
        <v>4.2957458914864743E-2</v>
      </c>
    </row>
    <row r="13" spans="2:48" x14ac:dyDescent="0.25">
      <c r="B13" s="19" t="s">
        <v>50</v>
      </c>
      <c r="C13" s="217">
        <v>34.941746042323949</v>
      </c>
      <c r="D13" s="218">
        <v>54.947261397466846</v>
      </c>
      <c r="E13" s="218">
        <v>62.284872378301557</v>
      </c>
      <c r="F13" s="218">
        <v>71.897067571776176</v>
      </c>
      <c r="G13" s="218">
        <v>79.098779244615812</v>
      </c>
      <c r="H13" s="76">
        <f t="shared" si="11"/>
        <v>0.10016697364812588</v>
      </c>
      <c r="I13" s="217">
        <v>34.49</v>
      </c>
      <c r="J13" s="218">
        <v>49.5</v>
      </c>
      <c r="K13" s="218">
        <v>55.39</v>
      </c>
      <c r="L13" s="218">
        <v>64.28</v>
      </c>
      <c r="M13" s="218">
        <v>70.27</v>
      </c>
      <c r="N13" s="76">
        <f t="shared" si="0"/>
        <v>9.3186060983198482E-2</v>
      </c>
      <c r="P13" s="19" t="s">
        <v>50</v>
      </c>
      <c r="Q13" s="217">
        <v>11.779150766288595</v>
      </c>
      <c r="R13" s="218">
        <v>36.145392682450826</v>
      </c>
      <c r="S13" s="218">
        <v>48.745594946944522</v>
      </c>
      <c r="T13" s="218">
        <v>57.752360670755827</v>
      </c>
      <c r="U13" s="218">
        <v>63.534951912826855</v>
      </c>
      <c r="V13" s="76">
        <f t="shared" si="1"/>
        <v>0.10012735713155307</v>
      </c>
      <c r="W13" s="217">
        <v>15.57</v>
      </c>
      <c r="X13" s="218">
        <v>34.96</v>
      </c>
      <c r="Y13" s="218">
        <v>40.57</v>
      </c>
      <c r="Z13" s="218">
        <v>48.53</v>
      </c>
      <c r="AA13" s="218">
        <v>54.3</v>
      </c>
      <c r="AB13" s="76">
        <f t="shared" si="2"/>
        <v>0.11889552853904783</v>
      </c>
      <c r="AD13" s="19" t="s">
        <v>50</v>
      </c>
      <c r="AE13" s="219">
        <v>6405740.370000001</v>
      </c>
      <c r="AF13" s="53">
        <v>58185875.680000007</v>
      </c>
      <c r="AG13" s="53">
        <v>81801106.270000011</v>
      </c>
      <c r="AH13" s="53">
        <v>102141611.28999999</v>
      </c>
      <c r="AI13" s="53">
        <v>110876677.07999998</v>
      </c>
      <c r="AJ13" s="76">
        <f t="shared" si="3"/>
        <v>8.5519169706452347E-2</v>
      </c>
      <c r="AK13" s="53">
        <f t="shared" si="4"/>
        <v>8735065.7899999917</v>
      </c>
      <c r="AL13" s="100">
        <f t="shared" si="5"/>
        <v>0.10881624490606277</v>
      </c>
      <c r="AM13" s="220">
        <v>2086276.82</v>
      </c>
      <c r="AN13" s="221">
        <v>9378882.4600000009</v>
      </c>
      <c r="AO13" s="221">
        <v>11062837.130000001</v>
      </c>
      <c r="AP13" s="221">
        <v>14269284.73</v>
      </c>
      <c r="AQ13" s="221">
        <v>15442972.35</v>
      </c>
      <c r="AR13" s="76">
        <f t="shared" si="6"/>
        <v>8.2252729706375316E-2</v>
      </c>
      <c r="AS13" s="53">
        <f t="shared" si="7"/>
        <v>1173687.6199999992</v>
      </c>
      <c r="AT13" s="76">
        <f t="shared" si="8"/>
        <v>6.4021683996853298</v>
      </c>
      <c r="AU13" s="53">
        <f t="shared" si="9"/>
        <v>13356695.529999999</v>
      </c>
      <c r="AV13" s="100">
        <f t="shared" si="10"/>
        <v>0.1125889764093594</v>
      </c>
    </row>
    <row r="14" spans="2:48" x14ac:dyDescent="0.25">
      <c r="B14" s="19" t="s">
        <v>51</v>
      </c>
      <c r="C14" s="217">
        <v>80.078959658119729</v>
      </c>
      <c r="D14" s="218">
        <v>88.111465548707429</v>
      </c>
      <c r="E14" s="218">
        <v>97.067375452191115</v>
      </c>
      <c r="F14" s="218">
        <v>109.68991147944101</v>
      </c>
      <c r="G14" s="218">
        <v>117.83360126143769</v>
      </c>
      <c r="H14" s="76">
        <f t="shared" si="11"/>
        <v>7.4242833020455423E-2</v>
      </c>
      <c r="I14" s="217">
        <v>78.02</v>
      </c>
      <c r="J14" s="218">
        <v>80.44</v>
      </c>
      <c r="K14" s="218">
        <v>81.83</v>
      </c>
      <c r="L14" s="218">
        <v>97.42</v>
      </c>
      <c r="M14" s="218">
        <v>103.67</v>
      </c>
      <c r="N14" s="76">
        <f t="shared" si="0"/>
        <v>6.4155204270170296E-2</v>
      </c>
      <c r="P14" s="19" t="s">
        <v>51</v>
      </c>
      <c r="Q14" s="217">
        <v>32.75526227951417</v>
      </c>
      <c r="R14" s="218">
        <v>65.77668266767671</v>
      </c>
      <c r="S14" s="218">
        <v>76.826581773908828</v>
      </c>
      <c r="T14" s="218">
        <v>88.870626500825935</v>
      </c>
      <c r="U14" s="218">
        <v>95.41168435461681</v>
      </c>
      <c r="V14" s="76">
        <f t="shared" si="1"/>
        <v>7.3602022527995636E-2</v>
      </c>
      <c r="W14" s="217">
        <v>39.54</v>
      </c>
      <c r="X14" s="218">
        <v>48.82</v>
      </c>
      <c r="Y14" s="218">
        <v>53.04</v>
      </c>
      <c r="Z14" s="218">
        <v>62.53</v>
      </c>
      <c r="AA14" s="218">
        <v>69.05</v>
      </c>
      <c r="AB14" s="76">
        <f t="shared" si="2"/>
        <v>0.1042699504237965</v>
      </c>
      <c r="AD14" s="19" t="s">
        <v>51</v>
      </c>
      <c r="AE14" s="219">
        <v>1405116</v>
      </c>
      <c r="AF14" s="53">
        <v>3899736.33</v>
      </c>
      <c r="AG14" s="53">
        <v>4714087.1399999997</v>
      </c>
      <c r="AH14" s="53">
        <v>5563911.0600000005</v>
      </c>
      <c r="AI14" s="53">
        <v>5940771.5999999996</v>
      </c>
      <c r="AJ14" s="76">
        <f t="shared" si="3"/>
        <v>6.773302735000919E-2</v>
      </c>
      <c r="AK14" s="53">
        <f t="shared" si="4"/>
        <v>376860.53999999911</v>
      </c>
      <c r="AL14" s="100">
        <f t="shared" si="5"/>
        <v>5.8303736582054361E-3</v>
      </c>
      <c r="AM14" s="220">
        <v>281148.38</v>
      </c>
      <c r="AN14" s="221">
        <v>496521.03</v>
      </c>
      <c r="AO14" s="221">
        <v>539467.63</v>
      </c>
      <c r="AP14" s="221">
        <v>645273.59</v>
      </c>
      <c r="AQ14" s="221">
        <v>712583.9</v>
      </c>
      <c r="AR14" s="76">
        <f t="shared" si="6"/>
        <v>0.10431282334056169</v>
      </c>
      <c r="AS14" s="53">
        <f t="shared" si="7"/>
        <v>67310.310000000056</v>
      </c>
      <c r="AT14" s="76">
        <f t="shared" si="8"/>
        <v>1.5345474158520851</v>
      </c>
      <c r="AU14" s="53">
        <f t="shared" si="9"/>
        <v>431435.52000000002</v>
      </c>
      <c r="AV14" s="100">
        <f t="shared" si="10"/>
        <v>5.1951845854848874E-3</v>
      </c>
    </row>
    <row r="15" spans="2:48" x14ac:dyDescent="0.25">
      <c r="B15" s="19" t="s">
        <v>52</v>
      </c>
      <c r="C15" s="217">
        <v>117.80732128979786</v>
      </c>
      <c r="D15" s="218">
        <v>117.98676505151548</v>
      </c>
      <c r="E15" s="218">
        <v>139.59849999914627</v>
      </c>
      <c r="F15" s="218">
        <v>162.56627286206552</v>
      </c>
      <c r="G15" s="218">
        <v>187.69802064461564</v>
      </c>
      <c r="H15" s="76">
        <f t="shared" si="11"/>
        <v>0.15459386095339678</v>
      </c>
      <c r="I15" s="217">
        <v>136.28</v>
      </c>
      <c r="J15" s="218">
        <v>113</v>
      </c>
      <c r="K15" s="218">
        <v>131.33000000000001</v>
      </c>
      <c r="L15" s="218">
        <v>154.88999999999999</v>
      </c>
      <c r="M15" s="218">
        <v>169.18</v>
      </c>
      <c r="N15" s="76">
        <f t="shared" si="0"/>
        <v>9.2259022532119817E-2</v>
      </c>
      <c r="P15" s="19" t="s">
        <v>52</v>
      </c>
      <c r="Q15" s="217">
        <v>55.56467082282623</v>
      </c>
      <c r="R15" s="218">
        <v>86.531856525930564</v>
      </c>
      <c r="S15" s="218">
        <v>111.25496086654451</v>
      </c>
      <c r="T15" s="218">
        <v>138.76479888821692</v>
      </c>
      <c r="U15" s="218">
        <v>156.57824410754708</v>
      </c>
      <c r="V15" s="76">
        <f t="shared" si="1"/>
        <v>0.12837149883869259</v>
      </c>
      <c r="W15" s="217">
        <v>84.99</v>
      </c>
      <c r="X15" s="218">
        <v>77.760000000000005</v>
      </c>
      <c r="Y15" s="218">
        <v>108.27</v>
      </c>
      <c r="Z15" s="218">
        <v>125.61</v>
      </c>
      <c r="AA15" s="218">
        <v>143.46</v>
      </c>
      <c r="AB15" s="76">
        <f t="shared" si="2"/>
        <v>0.14210652018151437</v>
      </c>
      <c r="AD15" s="19" t="s">
        <v>52</v>
      </c>
      <c r="AE15" s="219">
        <v>6632127.1899999995</v>
      </c>
      <c r="AF15" s="53">
        <v>24078048.459999997</v>
      </c>
      <c r="AG15" s="53">
        <v>35944844.239999995</v>
      </c>
      <c r="AH15" s="53">
        <v>45155976.710000008</v>
      </c>
      <c r="AI15" s="53">
        <v>50719094.049999997</v>
      </c>
      <c r="AJ15" s="76">
        <f t="shared" si="3"/>
        <v>0.12319780780576073</v>
      </c>
      <c r="AK15" s="53">
        <f t="shared" si="4"/>
        <v>5563117.3399999887</v>
      </c>
      <c r="AL15" s="100">
        <f t="shared" si="5"/>
        <v>4.9776576146634562E-2</v>
      </c>
      <c r="AM15" s="220">
        <v>2687501.02</v>
      </c>
      <c r="AN15" s="221">
        <v>3366417.4</v>
      </c>
      <c r="AO15" s="221">
        <v>5798035.4000000004</v>
      </c>
      <c r="AP15" s="221">
        <v>6737883.6500000004</v>
      </c>
      <c r="AQ15" s="221">
        <v>7239199.21</v>
      </c>
      <c r="AR15" s="76">
        <f t="shared" si="6"/>
        <v>7.440252548736126E-2</v>
      </c>
      <c r="AS15" s="53">
        <f t="shared" si="7"/>
        <v>501315.55999999959</v>
      </c>
      <c r="AT15" s="76">
        <f t="shared" si="8"/>
        <v>1.6936544976641534</v>
      </c>
      <c r="AU15" s="53">
        <f t="shared" si="9"/>
        <v>4551698.1899999995</v>
      </c>
      <c r="AV15" s="100">
        <f t="shared" si="10"/>
        <v>5.2778313047833911E-2</v>
      </c>
    </row>
    <row r="16" spans="2:48" x14ac:dyDescent="0.25">
      <c r="B16" s="19" t="s">
        <v>53</v>
      </c>
      <c r="C16" s="217">
        <v>63.166917693507571</v>
      </c>
      <c r="D16" s="218">
        <v>75.975371857455713</v>
      </c>
      <c r="E16" s="218">
        <v>86.273927968781862</v>
      </c>
      <c r="F16" s="218">
        <v>96.29006293189272</v>
      </c>
      <c r="G16" s="218">
        <v>104.54956117760663</v>
      </c>
      <c r="H16" s="76">
        <f t="shared" si="11"/>
        <v>8.5777265007667136E-2</v>
      </c>
      <c r="I16" s="217">
        <v>62.32</v>
      </c>
      <c r="J16" s="218">
        <v>77.150000000000006</v>
      </c>
      <c r="K16" s="218">
        <v>77.33</v>
      </c>
      <c r="L16" s="218">
        <v>89.71</v>
      </c>
      <c r="M16" s="218">
        <v>89.09</v>
      </c>
      <c r="N16" s="76">
        <f t="shared" si="0"/>
        <v>-6.9111581763459107E-3</v>
      </c>
      <c r="P16" s="19" t="s">
        <v>53</v>
      </c>
      <c r="Q16" s="217">
        <v>27.066643961527927</v>
      </c>
      <c r="R16" s="218">
        <v>55.005065744165272</v>
      </c>
      <c r="S16" s="218">
        <v>61.980913631793804</v>
      </c>
      <c r="T16" s="218">
        <v>72.014285733260806</v>
      </c>
      <c r="U16" s="218">
        <v>77.962423075833925</v>
      </c>
      <c r="V16" s="76">
        <f t="shared" si="1"/>
        <v>8.2596630404762728E-2</v>
      </c>
      <c r="W16" s="217">
        <v>30.69</v>
      </c>
      <c r="X16" s="218">
        <v>49.26</v>
      </c>
      <c r="Y16" s="218">
        <v>47.49</v>
      </c>
      <c r="Z16" s="218">
        <v>55.64</v>
      </c>
      <c r="AA16" s="218">
        <v>58.22</v>
      </c>
      <c r="AB16" s="76">
        <f t="shared" si="2"/>
        <v>4.6369518332135096E-2</v>
      </c>
      <c r="AD16" s="19" t="s">
        <v>53</v>
      </c>
      <c r="AE16" s="219">
        <v>5509773.8499999996</v>
      </c>
      <c r="AF16" s="53">
        <v>13702694.219999999</v>
      </c>
      <c r="AG16" s="53">
        <v>16977043.279999997</v>
      </c>
      <c r="AH16" s="53">
        <v>19267251.879999999</v>
      </c>
      <c r="AI16" s="53">
        <v>19868147.280000001</v>
      </c>
      <c r="AJ16" s="76">
        <f t="shared" si="3"/>
        <v>3.1187395262307849E-2</v>
      </c>
      <c r="AK16" s="53">
        <f t="shared" si="4"/>
        <v>600895.40000000224</v>
      </c>
      <c r="AL16" s="100">
        <f t="shared" si="5"/>
        <v>1.9498935548819617E-2</v>
      </c>
      <c r="AM16" s="220">
        <v>1151819.49</v>
      </c>
      <c r="AN16" s="221">
        <v>2140027.64</v>
      </c>
      <c r="AO16" s="221">
        <v>2074555.75</v>
      </c>
      <c r="AP16" s="221">
        <v>2453646.81</v>
      </c>
      <c r="AQ16" s="221">
        <v>2459003.3199999998</v>
      </c>
      <c r="AR16" s="76">
        <f t="shared" si="6"/>
        <v>2.183081109379259E-3</v>
      </c>
      <c r="AS16" s="53">
        <f t="shared" si="7"/>
        <v>5356.5099999997765</v>
      </c>
      <c r="AT16" s="76">
        <f t="shared" si="8"/>
        <v>1.1348860141270918</v>
      </c>
      <c r="AU16" s="53">
        <f t="shared" si="9"/>
        <v>1307183.8299999998</v>
      </c>
      <c r="AV16" s="100">
        <f t="shared" si="10"/>
        <v>1.7927680015953434E-2</v>
      </c>
    </row>
    <row r="17" spans="2:48" x14ac:dyDescent="0.25">
      <c r="B17" s="19" t="s">
        <v>54</v>
      </c>
      <c r="C17" s="217">
        <v>83.489503844316275</v>
      </c>
      <c r="D17" s="218">
        <v>108.93353016005922</v>
      </c>
      <c r="E17" s="218">
        <v>124.12696241521785</v>
      </c>
      <c r="F17" s="218">
        <v>137.24050299399909</v>
      </c>
      <c r="G17" s="218">
        <v>114.03957758205081</v>
      </c>
      <c r="H17" s="76">
        <f t="shared" si="11"/>
        <v>-0.16905304852287484</v>
      </c>
      <c r="I17" s="217">
        <v>76.55</v>
      </c>
      <c r="J17" s="218">
        <v>110.79</v>
      </c>
      <c r="K17" s="218">
        <v>119.94</v>
      </c>
      <c r="L17" s="218">
        <v>131.65</v>
      </c>
      <c r="M17" s="218">
        <v>107.09</v>
      </c>
      <c r="N17" s="76">
        <f t="shared" si="0"/>
        <v>-0.18655526015951385</v>
      </c>
      <c r="P17" s="19" t="s">
        <v>54</v>
      </c>
      <c r="Q17" s="217">
        <v>24.696203808928296</v>
      </c>
      <c r="R17" s="218">
        <v>78.413562704372922</v>
      </c>
      <c r="S17" s="218">
        <v>102.33972723803564</v>
      </c>
      <c r="T17" s="218">
        <v>117.60180468160974</v>
      </c>
      <c r="U17" s="218">
        <v>97.092253401502475</v>
      </c>
      <c r="V17" s="76">
        <f t="shared" si="1"/>
        <v>-0.17439826995541419</v>
      </c>
      <c r="W17" s="217">
        <v>21.53</v>
      </c>
      <c r="X17" s="218">
        <v>80.959999999999994</v>
      </c>
      <c r="Y17" s="218">
        <v>94.72</v>
      </c>
      <c r="Z17" s="218">
        <v>108.17</v>
      </c>
      <c r="AA17" s="218">
        <v>89.24</v>
      </c>
      <c r="AB17" s="76">
        <f t="shared" si="2"/>
        <v>-0.17500231117685128</v>
      </c>
      <c r="AD17" s="19" t="s">
        <v>54</v>
      </c>
      <c r="AE17" s="219">
        <v>4867550.99</v>
      </c>
      <c r="AF17" s="53">
        <v>38618106.219999999</v>
      </c>
      <c r="AG17" s="53">
        <v>49340902.600000001</v>
      </c>
      <c r="AH17" s="53">
        <v>58259049.670000002</v>
      </c>
      <c r="AI17" s="53">
        <v>48169352.309999995</v>
      </c>
      <c r="AJ17" s="76">
        <f t="shared" si="3"/>
        <v>-0.17318678243383034</v>
      </c>
      <c r="AK17" s="53">
        <f t="shared" si="4"/>
        <v>-10089697.360000007</v>
      </c>
      <c r="AL17" s="100">
        <f t="shared" si="5"/>
        <v>4.7274216507674043E-2</v>
      </c>
      <c r="AM17" s="220">
        <v>708500.43</v>
      </c>
      <c r="AN17" s="221">
        <v>6609056.7199999997</v>
      </c>
      <c r="AO17" s="221">
        <v>7404937.2300000004</v>
      </c>
      <c r="AP17" s="221">
        <v>8832905.2200000007</v>
      </c>
      <c r="AQ17" s="221">
        <v>7338203.5099999998</v>
      </c>
      <c r="AR17" s="76">
        <f t="shared" si="6"/>
        <v>-0.16921971568489225</v>
      </c>
      <c r="AS17" s="53">
        <f t="shared" si="7"/>
        <v>-1494701.7100000009</v>
      </c>
      <c r="AT17" s="76">
        <f t="shared" si="8"/>
        <v>9.3573734034289853</v>
      </c>
      <c r="AU17" s="53">
        <f t="shared" si="9"/>
        <v>6629703.0800000001</v>
      </c>
      <c r="AV17" s="100">
        <f t="shared" si="10"/>
        <v>5.3500116632305465E-2</v>
      </c>
    </row>
    <row r="18" spans="2:48" x14ac:dyDescent="0.25">
      <c r="B18" s="23" t="s">
        <v>55</v>
      </c>
      <c r="C18" s="217">
        <v>76.390027281650575</v>
      </c>
      <c r="D18" s="218">
        <v>61.121190501437432</v>
      </c>
      <c r="E18" s="218">
        <v>67.7125576222126</v>
      </c>
      <c r="F18" s="218">
        <v>73.031884332367</v>
      </c>
      <c r="G18" s="218">
        <v>74.072944174743441</v>
      </c>
      <c r="H18" s="76">
        <f t="shared" si="11"/>
        <v>1.4254867608763711E-2</v>
      </c>
      <c r="I18" s="217">
        <v>67.430000000000007</v>
      </c>
      <c r="J18" s="218">
        <v>55.3</v>
      </c>
      <c r="K18" s="218">
        <v>48.47</v>
      </c>
      <c r="L18" s="218">
        <v>48.39</v>
      </c>
      <c r="M18" s="218">
        <v>52.16</v>
      </c>
      <c r="N18" s="76">
        <f t="shared" si="0"/>
        <v>7.7908658813804488E-2</v>
      </c>
      <c r="P18" s="23" t="s">
        <v>55</v>
      </c>
      <c r="Q18" s="217">
        <v>17.540111489303516</v>
      </c>
      <c r="R18" s="218">
        <v>40.801067335974238</v>
      </c>
      <c r="S18" s="218">
        <v>54.311189256685253</v>
      </c>
      <c r="T18" s="218">
        <v>58.722107400711188</v>
      </c>
      <c r="U18" s="218">
        <v>57.426649165172265</v>
      </c>
      <c r="V18" s="76">
        <f t="shared" si="1"/>
        <v>-2.2060826712142712E-2</v>
      </c>
      <c r="W18" s="217">
        <v>21.29</v>
      </c>
      <c r="X18" s="218">
        <v>32.770000000000003</v>
      </c>
      <c r="Y18" s="218">
        <v>35.520000000000003</v>
      </c>
      <c r="Z18" s="218">
        <v>33.979999999999997</v>
      </c>
      <c r="AA18" s="218">
        <v>36.26</v>
      </c>
      <c r="AB18" s="76">
        <f t="shared" si="2"/>
        <v>6.7098293113596164E-2</v>
      </c>
      <c r="AD18" s="23" t="s">
        <v>55</v>
      </c>
      <c r="AE18" s="219">
        <v>3464555.94</v>
      </c>
      <c r="AF18" s="53">
        <v>10128725.060000001</v>
      </c>
      <c r="AG18" s="53">
        <v>12019552.109999999</v>
      </c>
      <c r="AH18" s="53">
        <v>13536328.719999999</v>
      </c>
      <c r="AI18" s="53">
        <v>13248871.23</v>
      </c>
      <c r="AJ18" s="76">
        <f t="shared" si="3"/>
        <v>-2.1236000982694736E-2</v>
      </c>
      <c r="AK18" s="53">
        <f t="shared" si="4"/>
        <v>-287457.48999999836</v>
      </c>
      <c r="AL18" s="100">
        <f t="shared" si="5"/>
        <v>1.300266615541117E-2</v>
      </c>
      <c r="AM18" s="220">
        <v>747936.69</v>
      </c>
      <c r="AN18" s="221">
        <v>1202298.6000000001</v>
      </c>
      <c r="AO18" s="221">
        <v>1285068.78</v>
      </c>
      <c r="AP18" s="221">
        <v>1287677.6599999999</v>
      </c>
      <c r="AQ18" s="221">
        <v>1388954.82</v>
      </c>
      <c r="AR18" s="76">
        <f t="shared" si="6"/>
        <v>7.8651018920371962E-2</v>
      </c>
      <c r="AS18" s="53">
        <f t="shared" si="7"/>
        <v>101277.16000000015</v>
      </c>
      <c r="AT18" s="76">
        <f t="shared" si="8"/>
        <v>0.8570486493983871</v>
      </c>
      <c r="AU18" s="53">
        <f t="shared" si="9"/>
        <v>641018.13000000012</v>
      </c>
      <c r="AV18" s="100">
        <f t="shared" si="10"/>
        <v>1.0126353782058416E-2</v>
      </c>
    </row>
    <row r="19" spans="2:48" x14ac:dyDescent="0.25">
      <c r="B19" s="103"/>
      <c r="C19" s="104"/>
      <c r="D19" s="104"/>
      <c r="E19" s="104"/>
      <c r="F19" s="104"/>
      <c r="G19" s="105"/>
      <c r="H19" s="104"/>
      <c r="I19" s="104"/>
      <c r="J19" s="104"/>
      <c r="K19" s="104"/>
      <c r="L19" s="104"/>
      <c r="M19" s="106"/>
      <c r="N19" s="106"/>
      <c r="P19" s="103"/>
      <c r="Q19" s="104"/>
      <c r="R19" s="104"/>
      <c r="S19" s="104"/>
      <c r="T19" s="104"/>
      <c r="U19" s="105"/>
      <c r="V19" s="104"/>
      <c r="W19" s="104"/>
      <c r="X19" s="104"/>
      <c r="Y19" s="104"/>
      <c r="Z19" s="104"/>
      <c r="AA19" s="106"/>
      <c r="AB19" s="106"/>
      <c r="AD19" s="103"/>
      <c r="AE19" s="103"/>
      <c r="AF19" s="103"/>
      <c r="AG19" s="103"/>
      <c r="AH19" s="104"/>
      <c r="AI19" s="105"/>
      <c r="AJ19" s="106"/>
      <c r="AK19" s="106"/>
      <c r="AL19" s="106"/>
      <c r="AM19" s="104"/>
      <c r="AN19" s="104"/>
      <c r="AO19" s="104"/>
      <c r="AP19" s="104"/>
      <c r="AQ19" s="106"/>
      <c r="AR19" s="106"/>
      <c r="AS19" s="106"/>
      <c r="AT19" s="106"/>
      <c r="AU19" s="222"/>
      <c r="AV19" s="106"/>
    </row>
    <row r="20" spans="2:48" x14ac:dyDescent="0.25">
      <c r="B20" s="107" t="s">
        <v>57</v>
      </c>
      <c r="C20" s="107"/>
      <c r="D20" s="107"/>
      <c r="E20" s="107"/>
      <c r="F20" s="107"/>
      <c r="G20" s="107"/>
      <c r="H20" s="107"/>
      <c r="I20" s="107"/>
      <c r="J20" s="107"/>
      <c r="K20" s="107"/>
      <c r="L20" s="107"/>
      <c r="M20" s="107"/>
      <c r="N20" s="107"/>
      <c r="P20" s="107" t="s">
        <v>57</v>
      </c>
      <c r="Q20" s="107"/>
      <c r="R20" s="107"/>
      <c r="S20" s="107"/>
      <c r="T20" s="107"/>
      <c r="U20" s="107"/>
      <c r="V20" s="107"/>
      <c r="W20" s="107"/>
      <c r="X20" s="107"/>
      <c r="Y20" s="107"/>
      <c r="Z20" s="107"/>
      <c r="AA20" s="107"/>
      <c r="AB20" s="107"/>
      <c r="AD20" s="107" t="s">
        <v>57</v>
      </c>
      <c r="AE20" s="107"/>
      <c r="AF20" s="10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</row>
    <row r="21" spans="2:48" ht="39" customHeight="1" x14ac:dyDescent="0.25">
      <c r="B21" s="295" t="s">
        <v>165</v>
      </c>
      <c r="C21" s="295"/>
      <c r="D21" s="295"/>
      <c r="E21" s="295"/>
      <c r="F21" s="295"/>
      <c r="G21" s="295"/>
      <c r="H21" s="295"/>
      <c r="I21" s="295"/>
      <c r="J21" s="295"/>
      <c r="K21" s="295"/>
      <c r="L21" s="295"/>
      <c r="M21" s="295"/>
      <c r="N21" s="295"/>
      <c r="P21" s="295" t="s">
        <v>166</v>
      </c>
      <c r="Q21" s="295"/>
      <c r="R21" s="295"/>
      <c r="S21" s="295"/>
      <c r="T21" s="295"/>
      <c r="U21" s="295"/>
      <c r="V21" s="295"/>
      <c r="W21" s="295"/>
      <c r="X21" s="223"/>
      <c r="Y21" s="223"/>
      <c r="Z21" s="223"/>
      <c r="AA21" s="223"/>
      <c r="AB21" s="223"/>
      <c r="AD21" s="316" t="s">
        <v>167</v>
      </c>
      <c r="AE21" s="316"/>
      <c r="AF21" s="316"/>
      <c r="AG21" s="316"/>
      <c r="AH21" s="316"/>
      <c r="AI21" s="316"/>
      <c r="AJ21" s="316"/>
      <c r="AK21" s="316"/>
      <c r="AL21" s="316"/>
      <c r="AM21" s="316"/>
      <c r="AN21" s="316"/>
      <c r="AO21" s="316"/>
      <c r="AP21" s="316"/>
      <c r="AQ21" s="316"/>
      <c r="AR21" s="316"/>
      <c r="AS21" s="316"/>
      <c r="AT21" s="316"/>
      <c r="AU21" s="316"/>
      <c r="AV21" s="316"/>
    </row>
    <row r="22" spans="2:48" ht="24" customHeight="1" x14ac:dyDescent="0.25">
      <c r="B22" s="295" t="s">
        <v>168</v>
      </c>
      <c r="C22" s="295"/>
      <c r="D22" s="295"/>
      <c r="E22" s="295"/>
      <c r="F22" s="295"/>
      <c r="G22" s="295"/>
      <c r="H22" s="295"/>
      <c r="I22" s="295"/>
      <c r="J22" s="295"/>
      <c r="K22" s="295"/>
      <c r="L22" s="295"/>
      <c r="M22" s="295"/>
      <c r="N22" s="295"/>
      <c r="P22" s="317" t="s">
        <v>169</v>
      </c>
      <c r="Q22" s="317"/>
      <c r="R22" s="317"/>
      <c r="S22" s="317"/>
      <c r="T22" s="317"/>
      <c r="U22" s="317"/>
      <c r="V22" s="317"/>
      <c r="W22" s="317"/>
      <c r="X22" s="224"/>
      <c r="Y22" s="224"/>
      <c r="Z22" s="224"/>
      <c r="AA22" s="224"/>
      <c r="AB22" s="224"/>
      <c r="AQ22" s="53">
        <f>AQ11/M11</f>
        <v>8282.1618777344229</v>
      </c>
    </row>
    <row r="23" spans="2:48" x14ac:dyDescent="0.25">
      <c r="B23" s="295"/>
      <c r="C23" s="295"/>
      <c r="D23" s="295"/>
      <c r="E23" s="295"/>
      <c r="F23" s="295"/>
      <c r="G23" s="295"/>
      <c r="H23" s="295"/>
      <c r="I23" s="295"/>
      <c r="J23" s="295"/>
      <c r="K23" s="295"/>
      <c r="L23" s="295"/>
      <c r="M23" s="295"/>
      <c r="N23" s="295"/>
      <c r="P23" s="225"/>
      <c r="Q23" s="225"/>
      <c r="R23" s="225"/>
      <c r="S23" s="225"/>
      <c r="T23" s="225"/>
      <c r="U23" s="225"/>
      <c r="V23" s="225"/>
      <c r="W23" s="225"/>
      <c r="X23" s="225"/>
      <c r="Y23" s="225"/>
      <c r="Z23" s="225"/>
      <c r="AA23" s="225"/>
      <c r="AB23" s="225"/>
    </row>
    <row r="27" spans="2:48" ht="50.25" customHeight="1" thickBot="1" x14ac:dyDescent="0.3">
      <c r="B27" s="278" t="s">
        <v>170</v>
      </c>
      <c r="C27" s="278"/>
      <c r="D27" s="278"/>
      <c r="E27" s="278"/>
      <c r="F27" s="278"/>
      <c r="G27" s="278"/>
      <c r="H27" s="278"/>
      <c r="I27" s="145"/>
      <c r="P27" s="278" t="s">
        <v>171</v>
      </c>
      <c r="Q27" s="278"/>
      <c r="R27" s="278"/>
      <c r="S27" s="278"/>
      <c r="T27" s="278"/>
      <c r="U27" s="278"/>
      <c r="V27" s="278"/>
      <c r="W27" s="278"/>
      <c r="AE27" s="278" t="s">
        <v>172</v>
      </c>
      <c r="AF27" s="278"/>
      <c r="AG27" s="278"/>
      <c r="AH27" s="278"/>
      <c r="AI27" s="278"/>
      <c r="AJ27" s="278"/>
      <c r="AK27" s="278"/>
      <c r="AL27" s="145"/>
    </row>
    <row r="28" spans="2:48" ht="6" customHeight="1" thickBot="1" x14ac:dyDescent="0.3">
      <c r="B28" s="85"/>
      <c r="C28" s="85"/>
      <c r="D28" s="85"/>
      <c r="E28" s="85"/>
      <c r="F28" s="85"/>
      <c r="G28" s="85"/>
      <c r="H28" s="85"/>
      <c r="I28" s="86"/>
      <c r="P28" s="85"/>
      <c r="Q28" s="85"/>
      <c r="R28" s="85"/>
      <c r="S28" s="85"/>
      <c r="T28" s="85"/>
      <c r="U28" s="85"/>
      <c r="V28" s="85"/>
      <c r="W28" s="86"/>
      <c r="AE28" s="86"/>
      <c r="AF28" s="86"/>
      <c r="AG28" s="86"/>
      <c r="AH28" s="86"/>
      <c r="AI28" s="86"/>
      <c r="AJ28" s="86"/>
      <c r="AK28" s="86"/>
      <c r="AL28" s="86"/>
    </row>
    <row r="29" spans="2:48" ht="30.75" thickBot="1" x14ac:dyDescent="0.3">
      <c r="B29" s="87"/>
      <c r="C29" s="186">
        <v>2020</v>
      </c>
      <c r="D29" s="186">
        <v>2021</v>
      </c>
      <c r="E29" s="186">
        <v>2022</v>
      </c>
      <c r="F29" s="186">
        <v>2023</v>
      </c>
      <c r="G29" s="186">
        <v>2024</v>
      </c>
      <c r="H29" s="14" t="str">
        <f>CONCATENATE("var. ",RIGHT(G29,2),"/",RIGHT(F29,2))</f>
        <v>var. 24/23</v>
      </c>
      <c r="I29" s="207" t="str">
        <f>CONCATENATE("dif. ",RIGHT(G29,2),"/",RIGHT(F29,2))</f>
        <v>dif. 24/23</v>
      </c>
      <c r="P29" s="87"/>
      <c r="Q29" s="186">
        <v>2020</v>
      </c>
      <c r="R29" s="186">
        <v>2021</v>
      </c>
      <c r="S29" s="186">
        <v>2022</v>
      </c>
      <c r="T29" s="186">
        <v>2023</v>
      </c>
      <c r="U29" s="186">
        <v>2024</v>
      </c>
      <c r="V29" s="14" t="str">
        <f>CONCATENATE("var. ",RIGHT(U29,2),"/",RIGHT(T29,2))</f>
        <v>var. 24/23</v>
      </c>
      <c r="W29" s="207" t="str">
        <f>CONCATENATE("dif. ",RIGHT(U29,2),"/",RIGHT(T29,2))</f>
        <v>dif. 24/23</v>
      </c>
      <c r="AE29" s="87"/>
      <c r="AF29" s="186">
        <v>2020</v>
      </c>
      <c r="AG29" s="186">
        <v>2021</v>
      </c>
      <c r="AH29" s="186">
        <v>2022</v>
      </c>
      <c r="AI29" s="186">
        <v>2023</v>
      </c>
      <c r="AJ29" s="186">
        <v>2024</v>
      </c>
      <c r="AK29" s="14" t="str">
        <f>CONCATENATE("var. ",RIGHT(AJ29,2),"/",RIGHT(AI29,2))</f>
        <v>var. 24/23</v>
      </c>
      <c r="AL29" s="207" t="str">
        <f>CONCATENATE("dif. ",RIGHT(AJ29,2),"/",RIGHT(AI29,2))</f>
        <v>dif. 24/23</v>
      </c>
    </row>
    <row r="30" spans="2:48" ht="15.75" x14ac:dyDescent="0.25">
      <c r="B30" s="209" t="s">
        <v>45</v>
      </c>
      <c r="C30" s="210">
        <v>95.05</v>
      </c>
      <c r="D30" s="210">
        <v>99.07</v>
      </c>
      <c r="E30" s="210">
        <v>105.63</v>
      </c>
      <c r="F30" s="210">
        <v>113.88</v>
      </c>
      <c r="G30" s="210">
        <v>125.25</v>
      </c>
      <c r="H30" s="135">
        <f>G30/F30-1</f>
        <v>9.984193888303472E-2</v>
      </c>
      <c r="I30" s="210">
        <f>G30-F30</f>
        <v>11.370000000000005</v>
      </c>
      <c r="P30" s="209" t="s">
        <v>45</v>
      </c>
      <c r="Q30" s="210">
        <v>47.83</v>
      </c>
      <c r="R30" s="210">
        <v>53</v>
      </c>
      <c r="S30" s="210">
        <v>80.58</v>
      </c>
      <c r="T30" s="210">
        <v>93.24</v>
      </c>
      <c r="U30" s="210">
        <v>104.71</v>
      </c>
      <c r="V30" s="135">
        <f>U30/T30-1</f>
        <v>0.12301587301587302</v>
      </c>
      <c r="W30" s="210">
        <f>U30-T30</f>
        <v>11.469999999999999</v>
      </c>
      <c r="AE30" s="209" t="s">
        <v>45</v>
      </c>
      <c r="AF30" s="215">
        <v>477122731.20999998</v>
      </c>
      <c r="AG30" s="215">
        <v>651901800.17999995</v>
      </c>
      <c r="AH30" s="215">
        <v>1528879517.8</v>
      </c>
      <c r="AI30" s="215">
        <v>1797799676.5999999</v>
      </c>
      <c r="AJ30" s="215">
        <v>2045218052.5</v>
      </c>
      <c r="AK30" s="135">
        <f>AJ30/AI30-1</f>
        <v>0.13762288375082909</v>
      </c>
      <c r="AL30" s="134">
        <f>AJ30-AI30</f>
        <v>247418375.9000001</v>
      </c>
    </row>
    <row r="31" spans="2:48" ht="15.75" customHeight="1" x14ac:dyDescent="0.25">
      <c r="B31" s="15" t="s">
        <v>46</v>
      </c>
      <c r="C31" s="217">
        <v>119.42</v>
      </c>
      <c r="D31" s="217">
        <v>126.49</v>
      </c>
      <c r="E31" s="217">
        <v>131.02000000000001</v>
      </c>
      <c r="F31" s="217">
        <v>139.02000000000001</v>
      </c>
      <c r="G31" s="217">
        <v>151.54</v>
      </c>
      <c r="H31" s="76">
        <f t="shared" ref="H31:H35" si="12">G31/F31-1</f>
        <v>9.0058984318802882E-2</v>
      </c>
      <c r="I31" s="218">
        <f t="shared" ref="I31:I40" si="13">G31-F31</f>
        <v>12.519999999999982</v>
      </c>
      <c r="P31" s="15" t="s">
        <v>46</v>
      </c>
      <c r="Q31" s="217">
        <v>61.17</v>
      </c>
      <c r="R31" s="218">
        <v>72.88</v>
      </c>
      <c r="S31" s="218">
        <v>107.72</v>
      </c>
      <c r="T31" s="218">
        <v>119.35</v>
      </c>
      <c r="U31" s="218">
        <v>131.18</v>
      </c>
      <c r="V31" s="76">
        <f t="shared" ref="V31:V40" si="14">U31/T31-1</f>
        <v>9.9120234604105573E-2</v>
      </c>
      <c r="W31" s="218">
        <f t="shared" ref="W31:W40" si="15">U31-T31</f>
        <v>11.830000000000013</v>
      </c>
      <c r="AE31" s="15" t="s">
        <v>46</v>
      </c>
      <c r="AF31" s="220">
        <v>217815325.03999999</v>
      </c>
      <c r="AG31" s="221">
        <v>333738906.93000001</v>
      </c>
      <c r="AH31" s="221">
        <v>743382276.49000001</v>
      </c>
      <c r="AI31" s="221">
        <v>857710368.34000003</v>
      </c>
      <c r="AJ31" s="221">
        <v>951532629.67999995</v>
      </c>
      <c r="AK31" s="76">
        <f t="shared" ref="AK31:AK40" si="16">AJ31/AI31-1</f>
        <v>0.10938688023741872</v>
      </c>
      <c r="AL31" s="53">
        <f t="shared" ref="AL31:AL40" si="17">AJ31-AI31</f>
        <v>93822261.339999914</v>
      </c>
    </row>
    <row r="32" spans="2:48" ht="15.75" customHeight="1" x14ac:dyDescent="0.25">
      <c r="B32" s="19" t="s">
        <v>47</v>
      </c>
      <c r="C32" s="217">
        <v>89.5</v>
      </c>
      <c r="D32" s="217">
        <v>85.87</v>
      </c>
      <c r="E32" s="217">
        <v>93.47</v>
      </c>
      <c r="F32" s="217">
        <v>101.28999999999999</v>
      </c>
      <c r="G32" s="217">
        <v>115.79999999999998</v>
      </c>
      <c r="H32" s="76">
        <f t="shared" si="12"/>
        <v>0.14325204857340301</v>
      </c>
      <c r="I32" s="218">
        <f t="shared" si="13"/>
        <v>14.509999999999991</v>
      </c>
      <c r="P32" s="19" t="s">
        <v>47</v>
      </c>
      <c r="Q32" s="217">
        <v>44.55</v>
      </c>
      <c r="R32" s="218">
        <v>43.14</v>
      </c>
      <c r="S32" s="218">
        <v>71.23</v>
      </c>
      <c r="T32" s="218">
        <v>83.79</v>
      </c>
      <c r="U32" s="218">
        <v>97.120000000000019</v>
      </c>
      <c r="V32" s="76">
        <f t="shared" si="14"/>
        <v>0.15908819668218177</v>
      </c>
      <c r="W32" s="218">
        <f t="shared" si="15"/>
        <v>13.330000000000013</v>
      </c>
      <c r="AE32" s="19" t="s">
        <v>47</v>
      </c>
      <c r="AF32" s="220">
        <v>122348722.31</v>
      </c>
      <c r="AG32" s="221">
        <v>137154616.22</v>
      </c>
      <c r="AH32" s="221">
        <v>381071528.48000002</v>
      </c>
      <c r="AI32" s="221">
        <v>437636228.67000002</v>
      </c>
      <c r="AJ32" s="221">
        <v>514385231.94</v>
      </c>
      <c r="AK32" s="76">
        <f t="shared" si="16"/>
        <v>0.17537168598505737</v>
      </c>
      <c r="AL32" s="53">
        <f t="shared" si="17"/>
        <v>76749003.269999981</v>
      </c>
    </row>
    <row r="33" spans="2:39" ht="15.75" customHeight="1" x14ac:dyDescent="0.25">
      <c r="B33" s="19" t="s">
        <v>48</v>
      </c>
      <c r="C33" s="217">
        <v>70.819999999999993</v>
      </c>
      <c r="D33" s="217">
        <v>66.41</v>
      </c>
      <c r="E33" s="217">
        <v>77.45</v>
      </c>
      <c r="F33" s="217">
        <v>80.180000000000007</v>
      </c>
      <c r="G33" s="217">
        <v>89.86</v>
      </c>
      <c r="H33" s="76">
        <f t="shared" si="12"/>
        <v>0.12072836118732844</v>
      </c>
      <c r="I33" s="218">
        <f t="shared" si="13"/>
        <v>9.6799999999999926</v>
      </c>
      <c r="P33" s="19" t="s">
        <v>48</v>
      </c>
      <c r="Q33" s="217">
        <v>38.090000000000003</v>
      </c>
      <c r="R33" s="218">
        <v>36.92</v>
      </c>
      <c r="S33" s="218">
        <v>53.920000000000009</v>
      </c>
      <c r="T33" s="218">
        <v>54.70000000000001</v>
      </c>
      <c r="U33" s="218">
        <v>64.64</v>
      </c>
      <c r="V33" s="76">
        <f t="shared" si="14"/>
        <v>0.18171846435100525</v>
      </c>
      <c r="W33" s="218">
        <f t="shared" si="15"/>
        <v>9.9399999999999906</v>
      </c>
      <c r="AE33" s="19" t="s">
        <v>48</v>
      </c>
      <c r="AF33" s="220">
        <v>2812428.07</v>
      </c>
      <c r="AG33" s="221">
        <v>4381169.17</v>
      </c>
      <c r="AH33" s="221">
        <v>8179727.9699999997</v>
      </c>
      <c r="AI33" s="221">
        <v>8858381.8200000003</v>
      </c>
      <c r="AJ33" s="221">
        <v>10477086.289999999</v>
      </c>
      <c r="AK33" s="76">
        <f t="shared" si="16"/>
        <v>0.18273139529223847</v>
      </c>
      <c r="AL33" s="53">
        <f t="shared" si="17"/>
        <v>1618704.4699999988</v>
      </c>
    </row>
    <row r="34" spans="2:39" ht="15.75" customHeight="1" x14ac:dyDescent="0.25">
      <c r="B34" s="19" t="s">
        <v>49</v>
      </c>
      <c r="C34" s="217">
        <v>135.87</v>
      </c>
      <c r="D34" s="217">
        <v>154.08000000000001</v>
      </c>
      <c r="E34" s="217">
        <v>185.51</v>
      </c>
      <c r="F34" s="217">
        <v>208.15999999999997</v>
      </c>
      <c r="G34" s="217">
        <v>202.39</v>
      </c>
      <c r="H34" s="76">
        <f t="shared" si="12"/>
        <v>-2.7719062259800031E-2</v>
      </c>
      <c r="I34" s="218">
        <f t="shared" si="13"/>
        <v>-5.7699999999999818</v>
      </c>
      <c r="P34" s="19" t="s">
        <v>49</v>
      </c>
      <c r="Q34" s="217">
        <v>44.86</v>
      </c>
      <c r="R34" s="218">
        <v>46.13</v>
      </c>
      <c r="S34" s="218">
        <v>94.79</v>
      </c>
      <c r="T34" s="218">
        <v>114.31</v>
      </c>
      <c r="U34" s="218">
        <v>127.83</v>
      </c>
      <c r="V34" s="76">
        <f t="shared" si="14"/>
        <v>0.11827486659084951</v>
      </c>
      <c r="W34" s="218">
        <f t="shared" si="15"/>
        <v>13.519999999999996</v>
      </c>
      <c r="AE34" s="19" t="s">
        <v>49</v>
      </c>
      <c r="AF34" s="220">
        <v>19929247.640000001</v>
      </c>
      <c r="AG34" s="221">
        <v>22694182.550000001</v>
      </c>
      <c r="AH34" s="221">
        <v>56687870.049999997</v>
      </c>
      <c r="AI34" s="221">
        <v>62672686.409999996</v>
      </c>
      <c r="AJ34" s="221">
        <v>65406733.899999999</v>
      </c>
      <c r="AK34" s="76">
        <f t="shared" si="16"/>
        <v>4.3624226861986859E-2</v>
      </c>
      <c r="AL34" s="53">
        <f t="shared" si="17"/>
        <v>2734047.4900000021</v>
      </c>
    </row>
    <row r="35" spans="2:39" ht="15.75" customHeight="1" x14ac:dyDescent="0.25">
      <c r="B35" s="19" t="s">
        <v>50</v>
      </c>
      <c r="C35" s="217">
        <v>53.52</v>
      </c>
      <c r="D35" s="217">
        <v>51.25</v>
      </c>
      <c r="E35" s="217">
        <v>59.12</v>
      </c>
      <c r="F35" s="217">
        <v>65.87</v>
      </c>
      <c r="G35" s="217">
        <v>74.569999999999993</v>
      </c>
      <c r="H35" s="76">
        <f t="shared" si="12"/>
        <v>0.13207833611659314</v>
      </c>
      <c r="I35" s="218">
        <f t="shared" si="13"/>
        <v>8.6999999999999886</v>
      </c>
      <c r="P35" s="19" t="s">
        <v>50</v>
      </c>
      <c r="Q35" s="217">
        <v>28.760000000000005</v>
      </c>
      <c r="R35" s="218">
        <v>28.24</v>
      </c>
      <c r="S35" s="218">
        <v>42.01</v>
      </c>
      <c r="T35" s="218">
        <v>51.99</v>
      </c>
      <c r="U35" s="218">
        <v>61.31</v>
      </c>
      <c r="V35" s="76">
        <f t="shared" si="14"/>
        <v>0.17926524331602223</v>
      </c>
      <c r="W35" s="218">
        <f t="shared" si="15"/>
        <v>9.32</v>
      </c>
      <c r="AE35" s="19" t="s">
        <v>50</v>
      </c>
      <c r="AF35" s="220">
        <v>46497100.399999999</v>
      </c>
      <c r="AG35" s="221">
        <v>54944687.289999999</v>
      </c>
      <c r="AH35" s="221">
        <v>136922674.63999999</v>
      </c>
      <c r="AI35" s="221">
        <v>177625996.66999999</v>
      </c>
      <c r="AJ35" s="221">
        <v>217541794.87</v>
      </c>
      <c r="AK35" s="76">
        <f t="shared" si="16"/>
        <v>0.22471822226651339</v>
      </c>
      <c r="AL35" s="53">
        <f t="shared" si="17"/>
        <v>39915798.200000018</v>
      </c>
    </row>
    <row r="36" spans="2:39" x14ac:dyDescent="0.25">
      <c r="B36" s="19" t="s">
        <v>51</v>
      </c>
      <c r="C36" s="217">
        <v>86.79</v>
      </c>
      <c r="D36" s="217">
        <v>84.44</v>
      </c>
      <c r="E36" s="217">
        <v>89.45</v>
      </c>
      <c r="F36" s="217">
        <v>98.5</v>
      </c>
      <c r="G36" s="217">
        <v>108.5</v>
      </c>
      <c r="H36" s="76">
        <f>G36/F36-1</f>
        <v>0.10152284263959399</v>
      </c>
      <c r="I36" s="218">
        <f t="shared" si="13"/>
        <v>10</v>
      </c>
      <c r="P36" s="19" t="s">
        <v>51</v>
      </c>
      <c r="Q36" s="217">
        <v>49.1</v>
      </c>
      <c r="R36" s="218">
        <v>45.63</v>
      </c>
      <c r="S36" s="218">
        <v>64.64</v>
      </c>
      <c r="T36" s="218">
        <v>73.62</v>
      </c>
      <c r="U36" s="218">
        <v>81.849999999999994</v>
      </c>
      <c r="V36" s="76">
        <f t="shared" si="14"/>
        <v>0.11179027438196121</v>
      </c>
      <c r="W36" s="218">
        <f t="shared" si="15"/>
        <v>8.2299999999999898</v>
      </c>
      <c r="AE36" s="19" t="s">
        <v>51</v>
      </c>
      <c r="AF36" s="220">
        <v>3114952.08</v>
      </c>
      <c r="AG36" s="221">
        <v>4498900.47</v>
      </c>
      <c r="AH36" s="221">
        <v>7864755.4299999997</v>
      </c>
      <c r="AI36" s="221">
        <v>9097368.0999999996</v>
      </c>
      <c r="AJ36" s="221">
        <v>10277452.130000001</v>
      </c>
      <c r="AK36" s="76">
        <f t="shared" si="16"/>
        <v>0.12971708048177155</v>
      </c>
      <c r="AL36" s="53">
        <f t="shared" si="17"/>
        <v>1180084.0300000012</v>
      </c>
    </row>
    <row r="37" spans="2:39" x14ac:dyDescent="0.25">
      <c r="B37" s="19" t="s">
        <v>52</v>
      </c>
      <c r="C37" s="217">
        <v>106.13</v>
      </c>
      <c r="D37" s="217">
        <v>125.31</v>
      </c>
      <c r="E37" s="217">
        <v>128.06</v>
      </c>
      <c r="F37" s="217">
        <v>149.08000000000001</v>
      </c>
      <c r="G37" s="217">
        <v>167.62</v>
      </c>
      <c r="H37" s="76">
        <f t="shared" ref="H37:H40" si="18">G37/F37-1</f>
        <v>0.12436275825060372</v>
      </c>
      <c r="I37" s="218">
        <f t="shared" si="13"/>
        <v>18.539999999999992</v>
      </c>
      <c r="P37" s="19" t="s">
        <v>52</v>
      </c>
      <c r="Q37" s="217">
        <v>64.31</v>
      </c>
      <c r="R37" s="218">
        <v>82.55</v>
      </c>
      <c r="S37" s="218">
        <v>96.70999999999998</v>
      </c>
      <c r="T37" s="218">
        <v>122.12</v>
      </c>
      <c r="U37" s="218">
        <v>143.97</v>
      </c>
      <c r="V37" s="76">
        <f t="shared" si="14"/>
        <v>0.17892237143792977</v>
      </c>
      <c r="W37" s="218">
        <f t="shared" si="15"/>
        <v>21.849999999999994</v>
      </c>
      <c r="AE37" s="19" t="s">
        <v>52</v>
      </c>
      <c r="AF37" s="220">
        <v>18804870.850000001</v>
      </c>
      <c r="AG37" s="221">
        <v>30921945.879999999</v>
      </c>
      <c r="AH37" s="221">
        <v>58482134.030000001</v>
      </c>
      <c r="AI37" s="221">
        <v>79534420.480000004</v>
      </c>
      <c r="AJ37" s="221">
        <v>93956888.709999993</v>
      </c>
      <c r="AK37" s="76">
        <f t="shared" si="16"/>
        <v>0.18133618303821941</v>
      </c>
      <c r="AL37" s="53">
        <f t="shared" si="17"/>
        <v>14422468.229999989</v>
      </c>
    </row>
    <row r="38" spans="2:39" x14ac:dyDescent="0.25">
      <c r="B38" s="19" t="s">
        <v>53</v>
      </c>
      <c r="C38" s="217">
        <v>64.19</v>
      </c>
      <c r="D38" s="217">
        <v>68.989999999999995</v>
      </c>
      <c r="E38" s="217">
        <v>76.34</v>
      </c>
      <c r="F38" s="217">
        <v>86.65</v>
      </c>
      <c r="G38" s="217">
        <v>96.86</v>
      </c>
      <c r="H38" s="76">
        <f t="shared" si="18"/>
        <v>0.1178303519907673</v>
      </c>
      <c r="I38" s="218">
        <f t="shared" si="13"/>
        <v>10.209999999999994</v>
      </c>
      <c r="P38" s="19" t="s">
        <v>53</v>
      </c>
      <c r="Q38" s="217">
        <v>33.54</v>
      </c>
      <c r="R38" s="218">
        <v>37.840000000000003</v>
      </c>
      <c r="S38" s="218">
        <v>53.16</v>
      </c>
      <c r="T38" s="218">
        <v>62.04999999999999</v>
      </c>
      <c r="U38" s="218">
        <v>69.75</v>
      </c>
      <c r="V38" s="76">
        <f t="shared" si="14"/>
        <v>0.12409347300564089</v>
      </c>
      <c r="W38" s="218">
        <f t="shared" si="15"/>
        <v>7.7000000000000099</v>
      </c>
      <c r="AE38" s="19" t="s">
        <v>53</v>
      </c>
      <c r="AF38" s="220">
        <v>10173605.369999999</v>
      </c>
      <c r="AG38" s="221">
        <v>16610861.380000001</v>
      </c>
      <c r="AH38" s="221">
        <v>27747259.210000001</v>
      </c>
      <c r="AI38" s="221">
        <v>33504230.199999999</v>
      </c>
      <c r="AJ38" s="221">
        <v>36546242.25</v>
      </c>
      <c r="AK38" s="76">
        <f t="shared" si="16"/>
        <v>9.0794864763076966E-2</v>
      </c>
      <c r="AL38" s="53">
        <f t="shared" si="17"/>
        <v>3042012.0500000007</v>
      </c>
    </row>
    <row r="39" spans="2:39" x14ac:dyDescent="0.25">
      <c r="B39" s="19" t="s">
        <v>54</v>
      </c>
      <c r="C39" s="217">
        <v>102.24</v>
      </c>
      <c r="D39" s="217">
        <v>98.71</v>
      </c>
      <c r="E39" s="217">
        <v>114.5</v>
      </c>
      <c r="F39" s="217">
        <v>129.04</v>
      </c>
      <c r="G39" s="217">
        <v>138.44999999999999</v>
      </c>
      <c r="H39" s="76">
        <f t="shared" si="18"/>
        <v>7.292312461252326E-2</v>
      </c>
      <c r="I39" s="218">
        <f t="shared" si="13"/>
        <v>9.4099999999999966</v>
      </c>
      <c r="P39" s="19" t="s">
        <v>54</v>
      </c>
      <c r="Q39" s="217">
        <v>50.94</v>
      </c>
      <c r="R39" s="218">
        <v>53.72</v>
      </c>
      <c r="S39" s="218">
        <v>88.72</v>
      </c>
      <c r="T39" s="218">
        <v>108.87</v>
      </c>
      <c r="U39" s="218">
        <v>119.53</v>
      </c>
      <c r="V39" s="76">
        <f t="shared" si="14"/>
        <v>9.791494442913562E-2</v>
      </c>
      <c r="W39" s="218">
        <f t="shared" si="15"/>
        <v>10.659999999999997</v>
      </c>
      <c r="AE39" s="19" t="s">
        <v>54</v>
      </c>
      <c r="AF39" s="220">
        <v>28411183</v>
      </c>
      <c r="AG39" s="221">
        <v>34127770.07</v>
      </c>
      <c r="AH39" s="221">
        <v>88124626.280000001</v>
      </c>
      <c r="AI39" s="221">
        <v>107018992.04000001</v>
      </c>
      <c r="AJ39" s="221">
        <v>118898417.72</v>
      </c>
      <c r="AK39" s="76">
        <f t="shared" si="16"/>
        <v>0.11100296735704518</v>
      </c>
      <c r="AL39" s="53">
        <f t="shared" si="17"/>
        <v>11879425.679999992</v>
      </c>
    </row>
    <row r="40" spans="2:39" x14ac:dyDescent="0.25">
      <c r="B40" s="23" t="s">
        <v>55</v>
      </c>
      <c r="C40" s="217">
        <v>58.1</v>
      </c>
      <c r="D40" s="217">
        <v>74.28</v>
      </c>
      <c r="E40" s="217">
        <v>64.23</v>
      </c>
      <c r="F40" s="217">
        <v>69.86</v>
      </c>
      <c r="G40" s="217">
        <v>72.739999999999995</v>
      </c>
      <c r="H40" s="76">
        <f t="shared" si="18"/>
        <v>4.1225307758373742E-2</v>
      </c>
      <c r="I40" s="218">
        <f t="shared" si="13"/>
        <v>2.8799999999999955</v>
      </c>
      <c r="P40" s="23" t="s">
        <v>55</v>
      </c>
      <c r="Q40" s="217">
        <v>22.7</v>
      </c>
      <c r="R40" s="218">
        <v>29.35</v>
      </c>
      <c r="S40" s="218">
        <v>43.18</v>
      </c>
      <c r="T40" s="218">
        <v>54</v>
      </c>
      <c r="U40" s="218">
        <v>56.57</v>
      </c>
      <c r="V40" s="76">
        <f t="shared" si="14"/>
        <v>4.7592592592592631E-2</v>
      </c>
      <c r="W40" s="218">
        <f t="shared" si="15"/>
        <v>2.5700000000000003</v>
      </c>
      <c r="AE40" s="23" t="s">
        <v>55</v>
      </c>
      <c r="AF40" s="220">
        <v>7215296.4500000002</v>
      </c>
      <c r="AG40" s="221">
        <v>12828760.220000001</v>
      </c>
      <c r="AH40" s="221">
        <v>20416665.23</v>
      </c>
      <c r="AI40" s="221">
        <v>24141003.859999999</v>
      </c>
      <c r="AJ40" s="221">
        <v>26195575.010000002</v>
      </c>
      <c r="AK40" s="76">
        <f t="shared" si="16"/>
        <v>8.5107113271469581E-2</v>
      </c>
      <c r="AL40" s="53">
        <f t="shared" si="17"/>
        <v>2054571.1500000022</v>
      </c>
    </row>
    <row r="41" spans="2:39" x14ac:dyDescent="0.25">
      <c r="B41" s="103"/>
      <c r="C41" s="104"/>
      <c r="D41" s="104"/>
      <c r="E41" s="104"/>
      <c r="F41" s="104"/>
      <c r="G41" s="105"/>
      <c r="H41" s="104"/>
      <c r="I41" s="106"/>
      <c r="P41" s="103"/>
      <c r="Q41" s="104"/>
      <c r="R41" s="104"/>
      <c r="S41" s="104"/>
      <c r="T41" s="104"/>
      <c r="U41" s="105"/>
      <c r="V41" s="104"/>
      <c r="W41" s="106"/>
      <c r="AE41" s="103"/>
      <c r="AF41" s="103"/>
      <c r="AG41" s="103"/>
      <c r="AH41" s="103"/>
      <c r="AI41" s="104"/>
      <c r="AJ41" s="105"/>
      <c r="AK41" s="106"/>
      <c r="AL41" s="106"/>
    </row>
    <row r="42" spans="2:39" x14ac:dyDescent="0.25">
      <c r="B42" s="318" t="s">
        <v>57</v>
      </c>
      <c r="C42" s="318"/>
      <c r="D42" s="318"/>
      <c r="E42" s="318"/>
      <c r="F42" s="318"/>
      <c r="G42" s="318"/>
      <c r="H42" s="318"/>
      <c r="I42" s="107"/>
      <c r="P42" s="107" t="s">
        <v>57</v>
      </c>
      <c r="Q42" s="107"/>
      <c r="R42" s="107"/>
      <c r="S42" s="107"/>
      <c r="T42" s="107"/>
      <c r="U42" s="107"/>
      <c r="V42" s="107"/>
      <c r="W42" s="107"/>
      <c r="AE42" s="107" t="s">
        <v>57</v>
      </c>
      <c r="AF42" s="107"/>
      <c r="AG42" s="107"/>
      <c r="AH42" s="107"/>
      <c r="AI42" s="107"/>
      <c r="AJ42" s="107"/>
      <c r="AK42" s="107"/>
      <c r="AL42" s="107"/>
    </row>
    <row r="43" spans="2:39" ht="39" customHeight="1" x14ac:dyDescent="0.25">
      <c r="B43" s="295" t="s">
        <v>165</v>
      </c>
      <c r="C43" s="295"/>
      <c r="D43" s="295"/>
      <c r="E43" s="295"/>
      <c r="F43" s="295"/>
      <c r="G43" s="295"/>
      <c r="H43" s="295"/>
      <c r="P43" s="295" t="s">
        <v>166</v>
      </c>
      <c r="Q43" s="295"/>
      <c r="R43" s="295"/>
      <c r="S43" s="295"/>
      <c r="T43" s="295"/>
      <c r="U43" s="295"/>
      <c r="V43" s="295"/>
      <c r="W43" s="295"/>
      <c r="AE43" s="316" t="s">
        <v>167</v>
      </c>
      <c r="AF43" s="316"/>
      <c r="AG43" s="316"/>
      <c r="AH43" s="316"/>
      <c r="AI43" s="316"/>
      <c r="AJ43" s="316"/>
      <c r="AK43" s="316"/>
      <c r="AL43" s="316"/>
      <c r="AM43" s="316"/>
    </row>
    <row r="44" spans="2:39" ht="24" customHeight="1" x14ac:dyDescent="0.25">
      <c r="B44" s="295" t="s">
        <v>168</v>
      </c>
      <c r="C44" s="295"/>
      <c r="D44" s="295"/>
      <c r="E44" s="295"/>
      <c r="F44" s="295"/>
      <c r="G44" s="295"/>
      <c r="H44" s="295"/>
      <c r="P44" s="317" t="s">
        <v>169</v>
      </c>
      <c r="Q44" s="317"/>
      <c r="R44" s="317"/>
      <c r="S44" s="317"/>
      <c r="T44" s="317"/>
      <c r="U44" s="317"/>
      <c r="V44" s="317"/>
      <c r="W44" s="317"/>
      <c r="AF44" s="124"/>
      <c r="AG44" s="124"/>
    </row>
  </sheetData>
  <mergeCells count="18">
    <mergeCell ref="B42:H42"/>
    <mergeCell ref="B43:H43"/>
    <mergeCell ref="P43:W43"/>
    <mergeCell ref="AE43:AM43"/>
    <mergeCell ref="B44:H44"/>
    <mergeCell ref="P44:W44"/>
    <mergeCell ref="AE27:AK27"/>
    <mergeCell ref="B5:N5"/>
    <mergeCell ref="P5:AB5"/>
    <mergeCell ref="AD5:AT5"/>
    <mergeCell ref="B21:N21"/>
    <mergeCell ref="P21:W21"/>
    <mergeCell ref="AD21:AV21"/>
    <mergeCell ref="B22:N22"/>
    <mergeCell ref="P22:W22"/>
    <mergeCell ref="B23:N23"/>
    <mergeCell ref="B27:H27"/>
    <mergeCell ref="P27:W27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6AFD7-86D0-46D5-B77E-BBE42C0744FF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CONCATENATE("Tarifa media diaria (ADR) Tenerife y municipios")</f>
        <v>Tarifa media diaria (ADR)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224</v>
      </c>
      <c r="L5" s="92" t="s">
        <v>225</v>
      </c>
      <c r="M5" s="92" t="s">
        <v>226</v>
      </c>
      <c r="N5" s="92" t="s">
        <v>227</v>
      </c>
      <c r="O5" s="92" t="s">
        <v>228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6">
        <v>87.94</v>
      </c>
      <c r="D6" s="226">
        <v>95.05</v>
      </c>
      <c r="E6" s="226">
        <v>99.07</v>
      </c>
      <c r="F6" s="226">
        <v>105.63</v>
      </c>
      <c r="G6" s="226">
        <v>113.88</v>
      </c>
      <c r="H6" s="226">
        <v>125.25</v>
      </c>
      <c r="I6" s="95">
        <f t="shared" ref="I6:I51" si="0">IFERROR(H6/G6-1,"-")</f>
        <v>9.984193888303472E-2</v>
      </c>
      <c r="J6" s="226">
        <f t="shared" ref="J6:J51" si="1">IFERROR(H6-G6,"-")</f>
        <v>11.370000000000005</v>
      </c>
      <c r="K6" s="227">
        <v>84.78</v>
      </c>
      <c r="L6" s="227">
        <v>91.84</v>
      </c>
      <c r="M6" s="227">
        <v>96.36</v>
      </c>
      <c r="N6" s="227">
        <v>102.74</v>
      </c>
      <c r="O6" s="227">
        <v>110.43</v>
      </c>
      <c r="P6" s="95">
        <f t="shared" ref="P6:P51" si="2">IFERROR(O6/N6-1,"-")</f>
        <v>7.4849133735643392E-2</v>
      </c>
      <c r="Q6" s="226">
        <f t="shared" ref="Q6:Q51" si="3">IFERROR(O6-N6,"-")</f>
        <v>7.6900000000000119</v>
      </c>
    </row>
    <row r="7" spans="2:17" x14ac:dyDescent="0.25">
      <c r="B7" s="96" t="s">
        <v>62</v>
      </c>
      <c r="C7" s="228">
        <v>95.42</v>
      </c>
      <c r="D7" s="228">
        <v>103.69</v>
      </c>
      <c r="E7" s="228">
        <v>107.45</v>
      </c>
      <c r="F7" s="228">
        <v>114.17</v>
      </c>
      <c r="G7" s="228">
        <v>123.5</v>
      </c>
      <c r="H7" s="228">
        <v>135.84</v>
      </c>
      <c r="I7" s="98">
        <f t="shared" si="0"/>
        <v>9.991902834008104E-2</v>
      </c>
      <c r="J7" s="228">
        <f t="shared" si="1"/>
        <v>12.340000000000003</v>
      </c>
      <c r="K7" s="229">
        <v>93.15</v>
      </c>
      <c r="L7" s="229">
        <v>98.25</v>
      </c>
      <c r="M7" s="229">
        <v>103.79</v>
      </c>
      <c r="N7" s="229">
        <v>109.35</v>
      </c>
      <c r="O7" s="229">
        <v>118.06</v>
      </c>
      <c r="P7" s="98">
        <f t="shared" si="2"/>
        <v>7.9652491998171149E-2</v>
      </c>
      <c r="Q7" s="228">
        <f t="shared" si="3"/>
        <v>8.710000000000008</v>
      </c>
    </row>
    <row r="8" spans="2:17" x14ac:dyDescent="0.25">
      <c r="B8" s="99" t="s">
        <v>63</v>
      </c>
      <c r="C8" s="230">
        <v>104.04</v>
      </c>
      <c r="D8" s="230">
        <v>113.97</v>
      </c>
      <c r="E8" s="230">
        <v>117.1</v>
      </c>
      <c r="F8" s="230">
        <v>123.96</v>
      </c>
      <c r="G8" s="230">
        <v>133.38999999999999</v>
      </c>
      <c r="H8" s="230">
        <v>146.27000000000001</v>
      </c>
      <c r="I8" s="100">
        <f t="shared" si="0"/>
        <v>9.6558962440962848E-2</v>
      </c>
      <c r="J8" s="230">
        <f t="shared" si="1"/>
        <v>12.880000000000024</v>
      </c>
      <c r="K8" s="231">
        <v>101.31</v>
      </c>
      <c r="L8" s="231">
        <v>105.8</v>
      </c>
      <c r="M8" s="231">
        <v>111.78</v>
      </c>
      <c r="N8" s="231">
        <v>117.41</v>
      </c>
      <c r="O8" s="231">
        <v>126.76</v>
      </c>
      <c r="P8" s="100">
        <f t="shared" si="2"/>
        <v>7.9635465462907895E-2</v>
      </c>
      <c r="Q8" s="230">
        <f t="shared" si="3"/>
        <v>9.3500000000000085</v>
      </c>
    </row>
    <row r="9" spans="2:17" x14ac:dyDescent="0.25">
      <c r="B9" s="99" t="s">
        <v>64</v>
      </c>
      <c r="C9" s="230">
        <v>59.74</v>
      </c>
      <c r="D9" s="230">
        <v>59.3</v>
      </c>
      <c r="E9" s="230">
        <v>59.54</v>
      </c>
      <c r="F9" s="230">
        <v>65.25</v>
      </c>
      <c r="G9" s="230">
        <v>72.41</v>
      </c>
      <c r="H9" s="230">
        <v>79.900000000000006</v>
      </c>
      <c r="I9" s="100">
        <f t="shared" si="0"/>
        <v>0.10343875155365301</v>
      </c>
      <c r="J9" s="230">
        <f t="shared" si="1"/>
        <v>7.4900000000000091</v>
      </c>
      <c r="K9" s="231">
        <v>44.64</v>
      </c>
      <c r="L9" s="231">
        <v>58.14</v>
      </c>
      <c r="M9" s="231">
        <v>60.59</v>
      </c>
      <c r="N9" s="231">
        <v>66.03</v>
      </c>
      <c r="O9" s="231">
        <v>71.03</v>
      </c>
      <c r="P9" s="100">
        <f t="shared" si="2"/>
        <v>7.5723156141147996E-2</v>
      </c>
      <c r="Q9" s="230">
        <f t="shared" si="3"/>
        <v>5</v>
      </c>
    </row>
    <row r="10" spans="2:17" x14ac:dyDescent="0.25">
      <c r="B10" s="96" t="s">
        <v>65</v>
      </c>
      <c r="C10" s="228">
        <v>66.08</v>
      </c>
      <c r="D10" s="228">
        <v>69.31</v>
      </c>
      <c r="E10" s="228">
        <v>67.12</v>
      </c>
      <c r="F10" s="228">
        <v>73.13</v>
      </c>
      <c r="G10" s="228">
        <v>78.930000000000007</v>
      </c>
      <c r="H10" s="228">
        <v>86.89</v>
      </c>
      <c r="I10" s="98">
        <f t="shared" si="0"/>
        <v>0.10084885341441785</v>
      </c>
      <c r="J10" s="228">
        <f t="shared" si="1"/>
        <v>7.9599999999999937</v>
      </c>
      <c r="K10" s="229">
        <v>57.93</v>
      </c>
      <c r="L10" s="229">
        <v>65.13</v>
      </c>
      <c r="M10" s="229">
        <v>68.09</v>
      </c>
      <c r="N10" s="229">
        <v>78.010000000000005</v>
      </c>
      <c r="O10" s="229">
        <v>83.54</v>
      </c>
      <c r="P10" s="98">
        <f t="shared" si="2"/>
        <v>7.0888347647737548E-2</v>
      </c>
      <c r="Q10" s="228">
        <f t="shared" si="3"/>
        <v>5.5300000000000011</v>
      </c>
    </row>
    <row r="11" spans="2:17" x14ac:dyDescent="0.25">
      <c r="B11" s="93" t="s">
        <v>46</v>
      </c>
      <c r="C11" s="232">
        <v>107.11</v>
      </c>
      <c r="D11" s="232">
        <v>119.42</v>
      </c>
      <c r="E11" s="232">
        <v>126.49</v>
      </c>
      <c r="F11" s="232">
        <v>131.02000000000001</v>
      </c>
      <c r="G11" s="232">
        <v>139.02000000000001</v>
      </c>
      <c r="H11" s="232">
        <v>151.54</v>
      </c>
      <c r="I11" s="102">
        <f t="shared" si="0"/>
        <v>9.0058984318802882E-2</v>
      </c>
      <c r="J11" s="232">
        <f t="shared" si="1"/>
        <v>12.519999999999982</v>
      </c>
      <c r="K11" s="233">
        <v>109.86</v>
      </c>
      <c r="L11" s="233">
        <v>108.9</v>
      </c>
      <c r="M11" s="233">
        <v>112.49</v>
      </c>
      <c r="N11" s="233">
        <v>119.26</v>
      </c>
      <c r="O11" s="233">
        <v>126.95</v>
      </c>
      <c r="P11" s="102">
        <f t="shared" si="2"/>
        <v>6.4480965956733138E-2</v>
      </c>
      <c r="Q11" s="232">
        <f t="shared" si="3"/>
        <v>7.6899999999999977</v>
      </c>
    </row>
    <row r="12" spans="2:17" x14ac:dyDescent="0.25">
      <c r="B12" s="96" t="s">
        <v>62</v>
      </c>
      <c r="C12" s="228">
        <v>115.8</v>
      </c>
      <c r="D12" s="228">
        <v>130.44999999999999</v>
      </c>
      <c r="E12" s="228">
        <v>134.97</v>
      </c>
      <c r="F12" s="228">
        <v>140.36000000000001</v>
      </c>
      <c r="G12" s="228">
        <v>150.84</v>
      </c>
      <c r="H12" s="228">
        <v>166.04</v>
      </c>
      <c r="I12" s="98">
        <f t="shared" si="0"/>
        <v>0.10076902678334654</v>
      </c>
      <c r="J12" s="228">
        <f t="shared" si="1"/>
        <v>15.199999999999989</v>
      </c>
      <c r="K12" s="229">
        <v>120.67</v>
      </c>
      <c r="L12" s="229">
        <v>115.66</v>
      </c>
      <c r="M12" s="229">
        <v>120.24</v>
      </c>
      <c r="N12" s="229">
        <v>128.46</v>
      </c>
      <c r="O12" s="229">
        <v>138.44999999999999</v>
      </c>
      <c r="P12" s="98">
        <f t="shared" si="2"/>
        <v>7.7767398411956901E-2</v>
      </c>
      <c r="Q12" s="228">
        <f t="shared" si="3"/>
        <v>9.9899999999999807</v>
      </c>
    </row>
    <row r="13" spans="2:17" x14ac:dyDescent="0.25">
      <c r="B13" s="99" t="s">
        <v>63</v>
      </c>
      <c r="C13" s="230">
        <v>125.04</v>
      </c>
      <c r="D13" s="230">
        <v>138.85</v>
      </c>
      <c r="E13" s="230">
        <v>143.38999999999999</v>
      </c>
      <c r="F13" s="230">
        <v>150.34</v>
      </c>
      <c r="G13" s="230">
        <v>161.43</v>
      </c>
      <c r="H13" s="230">
        <v>176.82</v>
      </c>
      <c r="I13" s="100">
        <f t="shared" si="0"/>
        <v>9.5335439509384834E-2</v>
      </c>
      <c r="J13" s="230">
        <f t="shared" si="1"/>
        <v>15.389999999999986</v>
      </c>
      <c r="K13" s="231">
        <v>122.83</v>
      </c>
      <c r="L13" s="231">
        <v>123.86</v>
      </c>
      <c r="M13" s="231">
        <v>128.63999999999999</v>
      </c>
      <c r="N13" s="231">
        <v>137.11000000000001</v>
      </c>
      <c r="O13" s="231">
        <v>148.5</v>
      </c>
      <c r="P13" s="100">
        <f t="shared" si="2"/>
        <v>8.3071985996644893E-2</v>
      </c>
      <c r="Q13" s="230">
        <f t="shared" si="3"/>
        <v>11.389999999999986</v>
      </c>
    </row>
    <row r="14" spans="2:17" x14ac:dyDescent="0.25">
      <c r="B14" s="99" t="s">
        <v>64</v>
      </c>
      <c r="C14" s="230">
        <v>63.73</v>
      </c>
      <c r="D14" s="230">
        <v>65.55</v>
      </c>
      <c r="E14" s="230">
        <v>60.97</v>
      </c>
      <c r="F14" s="230">
        <v>62.16</v>
      </c>
      <c r="G14" s="230">
        <v>63.03</v>
      </c>
      <c r="H14" s="230">
        <v>64.42</v>
      </c>
      <c r="I14" s="100">
        <f t="shared" si="0"/>
        <v>2.2052990639378045E-2</v>
      </c>
      <c r="J14" s="230">
        <f t="shared" si="1"/>
        <v>1.3900000000000006</v>
      </c>
      <c r="K14" s="231">
        <v>47.92</v>
      </c>
      <c r="L14" s="231">
        <v>48.25</v>
      </c>
      <c r="M14" s="231">
        <v>47.4</v>
      </c>
      <c r="N14" s="231">
        <v>45.16</v>
      </c>
      <c r="O14" s="231">
        <v>56.04</v>
      </c>
      <c r="P14" s="100">
        <f t="shared" si="2"/>
        <v>0.24092116917626227</v>
      </c>
      <c r="Q14" s="230">
        <f t="shared" si="3"/>
        <v>10.880000000000003</v>
      </c>
    </row>
    <row r="15" spans="2:17" x14ac:dyDescent="0.25">
      <c r="B15" s="96" t="s">
        <v>65</v>
      </c>
      <c r="C15" s="228">
        <v>72.42</v>
      </c>
      <c r="D15" s="228">
        <v>76.66</v>
      </c>
      <c r="E15" s="228">
        <v>74.13</v>
      </c>
      <c r="F15" s="228">
        <v>78.930000000000007</v>
      </c>
      <c r="G15" s="228">
        <v>83.06</v>
      </c>
      <c r="H15" s="228">
        <v>86.47</v>
      </c>
      <c r="I15" s="98">
        <f t="shared" si="0"/>
        <v>4.1054659282446337E-2</v>
      </c>
      <c r="J15" s="228">
        <f t="shared" si="1"/>
        <v>3.4099999999999966</v>
      </c>
      <c r="K15" s="229">
        <v>65.25</v>
      </c>
      <c r="L15" s="229">
        <v>70.37</v>
      </c>
      <c r="M15" s="229">
        <v>73.400000000000006</v>
      </c>
      <c r="N15" s="229">
        <v>74.91</v>
      </c>
      <c r="O15" s="229">
        <v>78.599999999999994</v>
      </c>
      <c r="P15" s="98">
        <f t="shared" si="2"/>
        <v>4.9259110933119743E-2</v>
      </c>
      <c r="Q15" s="228">
        <f t="shared" si="3"/>
        <v>3.6899999999999977</v>
      </c>
    </row>
    <row r="16" spans="2:17" x14ac:dyDescent="0.25">
      <c r="B16" s="93" t="s">
        <v>53</v>
      </c>
      <c r="C16" s="232">
        <v>63.43</v>
      </c>
      <c r="D16" s="232">
        <v>64.19</v>
      </c>
      <c r="E16" s="232">
        <v>68.989999999999995</v>
      </c>
      <c r="F16" s="232">
        <v>76.34</v>
      </c>
      <c r="G16" s="232">
        <v>86.65</v>
      </c>
      <c r="H16" s="232">
        <v>96.86</v>
      </c>
      <c r="I16" s="102">
        <f t="shared" si="0"/>
        <v>0.1178303519907673</v>
      </c>
      <c r="J16" s="232">
        <f t="shared" si="1"/>
        <v>10.209999999999994</v>
      </c>
      <c r="K16" s="233">
        <v>62.32</v>
      </c>
      <c r="L16" s="233">
        <v>77.150000000000006</v>
      </c>
      <c r="M16" s="233">
        <v>77.33</v>
      </c>
      <c r="N16" s="233">
        <v>89.71</v>
      </c>
      <c r="O16" s="233">
        <v>89.09</v>
      </c>
      <c r="P16" s="102">
        <f t="shared" si="2"/>
        <v>-6.9111581763459107E-3</v>
      </c>
      <c r="Q16" s="232">
        <f t="shared" si="3"/>
        <v>-0.61999999999999034</v>
      </c>
    </row>
    <row r="17" spans="2:17" x14ac:dyDescent="0.25">
      <c r="B17" s="96" t="s">
        <v>62</v>
      </c>
      <c r="C17" s="228">
        <v>63.43</v>
      </c>
      <c r="D17" s="228">
        <v>64.19</v>
      </c>
      <c r="E17" s="228">
        <v>68.989999999999995</v>
      </c>
      <c r="F17" s="228">
        <v>76.34</v>
      </c>
      <c r="G17" s="228">
        <v>86.65</v>
      </c>
      <c r="H17" s="228">
        <v>96.86</v>
      </c>
      <c r="I17" s="98">
        <f t="shared" si="0"/>
        <v>0.1178303519907673</v>
      </c>
      <c r="J17" s="228">
        <f t="shared" si="1"/>
        <v>10.209999999999994</v>
      </c>
      <c r="K17" s="229">
        <v>62.32</v>
      </c>
      <c r="L17" s="229">
        <v>77.150000000000006</v>
      </c>
      <c r="M17" s="229">
        <v>77.33</v>
      </c>
      <c r="N17" s="229">
        <v>89.71</v>
      </c>
      <c r="O17" s="229">
        <v>89.09</v>
      </c>
      <c r="P17" s="98">
        <f t="shared" si="2"/>
        <v>-6.9111581763459107E-3</v>
      </c>
      <c r="Q17" s="228">
        <f t="shared" si="3"/>
        <v>-0.61999999999999034</v>
      </c>
    </row>
    <row r="18" spans="2:17" x14ac:dyDescent="0.25">
      <c r="B18" s="99" t="s">
        <v>63</v>
      </c>
      <c r="C18" s="230">
        <v>80.7</v>
      </c>
      <c r="D18" s="230">
        <v>76.319999999999993</v>
      </c>
      <c r="E18" s="230">
        <v>76.47</v>
      </c>
      <c r="F18" s="230">
        <v>90.03</v>
      </c>
      <c r="G18" s="230">
        <v>101.46</v>
      </c>
      <c r="H18" s="230">
        <v>115.08</v>
      </c>
      <c r="I18" s="100">
        <f t="shared" si="0"/>
        <v>0.13424009461856889</v>
      </c>
      <c r="J18" s="230">
        <f t="shared" si="1"/>
        <v>13.620000000000005</v>
      </c>
      <c r="K18" s="231">
        <v>66.56</v>
      </c>
      <c r="L18" s="231">
        <v>91.24</v>
      </c>
      <c r="M18" s="231">
        <v>88.04</v>
      </c>
      <c r="N18" s="231">
        <v>105.89</v>
      </c>
      <c r="O18" s="231">
        <v>104.71</v>
      </c>
      <c r="P18" s="100">
        <f t="shared" si="2"/>
        <v>-1.1143639626027046E-2</v>
      </c>
      <c r="Q18" s="230">
        <f t="shared" si="3"/>
        <v>-1.1800000000000068</v>
      </c>
    </row>
    <row r="19" spans="2:17" x14ac:dyDescent="0.25">
      <c r="B19" s="99" t="s">
        <v>64</v>
      </c>
      <c r="C19" s="230">
        <v>47.71</v>
      </c>
      <c r="D19" s="230">
        <v>52.19</v>
      </c>
      <c r="E19" s="230">
        <v>57.98</v>
      </c>
      <c r="F19" s="230">
        <v>57.94</v>
      </c>
      <c r="G19" s="230">
        <v>67.42</v>
      </c>
      <c r="H19" s="230">
        <v>70.06</v>
      </c>
      <c r="I19" s="100">
        <f t="shared" si="0"/>
        <v>3.915752002373174E-2</v>
      </c>
      <c r="J19" s="230">
        <f t="shared" si="1"/>
        <v>2.6400000000000006</v>
      </c>
      <c r="K19" s="231">
        <v>56</v>
      </c>
      <c r="L19" s="231">
        <v>58.71</v>
      </c>
      <c r="M19" s="231">
        <v>63.17</v>
      </c>
      <c r="N19" s="231">
        <v>68.459999999999994</v>
      </c>
      <c r="O19" s="231">
        <v>60.68</v>
      </c>
      <c r="P19" s="100">
        <f t="shared" si="2"/>
        <v>-0.11364300321355525</v>
      </c>
      <c r="Q19" s="230">
        <f t="shared" si="3"/>
        <v>-7.779999999999994</v>
      </c>
    </row>
    <row r="20" spans="2:17" x14ac:dyDescent="0.25">
      <c r="B20" s="96" t="s">
        <v>65</v>
      </c>
      <c r="C20" s="228">
        <v>0</v>
      </c>
      <c r="D20" s="228">
        <v>0</v>
      </c>
      <c r="E20" s="228">
        <v>0</v>
      </c>
      <c r="F20" s="228">
        <v>0</v>
      </c>
      <c r="G20" s="228">
        <v>0</v>
      </c>
      <c r="H20" s="228">
        <v>0</v>
      </c>
      <c r="I20" s="98" t="str">
        <f t="shared" si="0"/>
        <v>-</v>
      </c>
      <c r="J20" s="228">
        <f t="shared" si="1"/>
        <v>0</v>
      </c>
      <c r="K20" s="229" t="s">
        <v>229</v>
      </c>
      <c r="L20" s="229" t="s">
        <v>229</v>
      </c>
      <c r="M20" s="229" t="s">
        <v>229</v>
      </c>
      <c r="N20" s="229" t="s">
        <v>229</v>
      </c>
      <c r="O20" s="229" t="s">
        <v>229</v>
      </c>
      <c r="P20" s="98" t="str">
        <f t="shared" si="2"/>
        <v>-</v>
      </c>
      <c r="Q20" s="228" t="str">
        <f t="shared" si="3"/>
        <v>-</v>
      </c>
    </row>
    <row r="21" spans="2:17" x14ac:dyDescent="0.25">
      <c r="B21" s="93" t="s">
        <v>48</v>
      </c>
      <c r="C21" s="232">
        <v>67.28</v>
      </c>
      <c r="D21" s="232">
        <v>70.819999999999993</v>
      </c>
      <c r="E21" s="232">
        <v>66.41</v>
      </c>
      <c r="F21" s="232">
        <v>77.45</v>
      </c>
      <c r="G21" s="232">
        <v>80.180000000000007</v>
      </c>
      <c r="H21" s="232">
        <v>89.86</v>
      </c>
      <c r="I21" s="102">
        <f t="shared" si="0"/>
        <v>0.12072836118732844</v>
      </c>
      <c r="J21" s="232">
        <f t="shared" si="1"/>
        <v>9.6799999999999926</v>
      </c>
      <c r="K21" s="233">
        <v>55.36</v>
      </c>
      <c r="L21" s="233">
        <v>70.209999999999994</v>
      </c>
      <c r="M21" s="233">
        <v>72.040000000000006</v>
      </c>
      <c r="N21" s="233">
        <v>63.51</v>
      </c>
      <c r="O21" s="233">
        <v>84.57</v>
      </c>
      <c r="P21" s="102">
        <f t="shared" si="2"/>
        <v>0.33160132262635789</v>
      </c>
      <c r="Q21" s="232">
        <f t="shared" si="3"/>
        <v>21.059999999999995</v>
      </c>
    </row>
    <row r="22" spans="2:17" x14ac:dyDescent="0.25">
      <c r="B22" s="96" t="s">
        <v>62</v>
      </c>
      <c r="C22" s="228">
        <v>65.45</v>
      </c>
      <c r="D22" s="228">
        <v>68.510000000000005</v>
      </c>
      <c r="E22" s="228">
        <v>66.41</v>
      </c>
      <c r="F22" s="228">
        <v>77.510000000000005</v>
      </c>
      <c r="G22" s="228">
        <v>80.34</v>
      </c>
      <c r="H22" s="228">
        <v>89.98</v>
      </c>
      <c r="I22" s="98">
        <f t="shared" si="0"/>
        <v>0.11999004232013943</v>
      </c>
      <c r="J22" s="228">
        <f t="shared" si="1"/>
        <v>9.64</v>
      </c>
      <c r="K22" s="229">
        <v>55.36</v>
      </c>
      <c r="L22" s="229">
        <v>70.209999999999994</v>
      </c>
      <c r="M22" s="229">
        <v>72.08</v>
      </c>
      <c r="N22" s="229">
        <v>63.45</v>
      </c>
      <c r="O22" s="229">
        <v>84.55</v>
      </c>
      <c r="P22" s="98">
        <f t="shared" si="2"/>
        <v>0.33254531126871534</v>
      </c>
      <c r="Q22" s="228">
        <f t="shared" si="3"/>
        <v>21.099999999999994</v>
      </c>
    </row>
    <row r="23" spans="2:17" x14ac:dyDescent="0.25">
      <c r="B23" s="96" t="s">
        <v>65</v>
      </c>
      <c r="C23" s="228">
        <v>81.73</v>
      </c>
      <c r="D23" s="228">
        <v>91.3</v>
      </c>
      <c r="E23" s="228">
        <v>0</v>
      </c>
      <c r="F23" s="228">
        <v>0</v>
      </c>
      <c r="G23" s="228">
        <v>0</v>
      </c>
      <c r="H23" s="228">
        <v>0</v>
      </c>
      <c r="I23" s="98" t="str">
        <f t="shared" si="0"/>
        <v>-</v>
      </c>
      <c r="J23" s="228">
        <f t="shared" si="1"/>
        <v>0</v>
      </c>
      <c r="K23" s="229">
        <v>0</v>
      </c>
      <c r="L23" s="229">
        <v>0</v>
      </c>
      <c r="M23" s="229">
        <v>0</v>
      </c>
      <c r="N23" s="229">
        <v>0</v>
      </c>
      <c r="O23" s="229">
        <v>0</v>
      </c>
      <c r="P23" s="98" t="str">
        <f t="shared" si="2"/>
        <v>-</v>
      </c>
      <c r="Q23" s="228">
        <f t="shared" si="3"/>
        <v>0</v>
      </c>
    </row>
    <row r="24" spans="2:17" x14ac:dyDescent="0.25">
      <c r="B24" s="93" t="s">
        <v>49</v>
      </c>
      <c r="C24" s="232">
        <v>145.08000000000001</v>
      </c>
      <c r="D24" s="232">
        <v>135.87</v>
      </c>
      <c r="E24" s="232">
        <v>154.08000000000001</v>
      </c>
      <c r="F24" s="232">
        <v>185.51</v>
      </c>
      <c r="G24" s="232">
        <v>208.16</v>
      </c>
      <c r="H24" s="232">
        <v>202.39</v>
      </c>
      <c r="I24" s="102">
        <f t="shared" si="0"/>
        <v>-2.7719062259800253E-2</v>
      </c>
      <c r="J24" s="232">
        <f t="shared" si="1"/>
        <v>-5.7700000000000102</v>
      </c>
      <c r="K24" s="233">
        <v>139.72999999999999</v>
      </c>
      <c r="L24" s="233">
        <v>207.23</v>
      </c>
      <c r="M24" s="233">
        <v>234.27</v>
      </c>
      <c r="N24" s="233">
        <v>175.2</v>
      </c>
      <c r="O24" s="233">
        <v>156.80000000000001</v>
      </c>
      <c r="P24" s="102">
        <f t="shared" si="2"/>
        <v>-0.10502283105022814</v>
      </c>
      <c r="Q24" s="232">
        <f t="shared" si="3"/>
        <v>-18.399999999999977</v>
      </c>
    </row>
    <row r="25" spans="2:17" x14ac:dyDescent="0.25">
      <c r="B25" s="96" t="s">
        <v>62</v>
      </c>
      <c r="C25" s="228">
        <v>146.07</v>
      </c>
      <c r="D25" s="228">
        <v>134.66999999999999</v>
      </c>
      <c r="E25" s="228">
        <v>151.52000000000001</v>
      </c>
      <c r="F25" s="228">
        <v>180.18</v>
      </c>
      <c r="G25" s="228">
        <v>200.83</v>
      </c>
      <c r="H25" s="228">
        <v>207.41</v>
      </c>
      <c r="I25" s="98">
        <f t="shared" si="0"/>
        <v>3.2764029278494089E-2</v>
      </c>
      <c r="J25" s="228">
        <f t="shared" si="1"/>
        <v>6.5799999999999841</v>
      </c>
      <c r="K25" s="229">
        <v>134.80000000000001</v>
      </c>
      <c r="L25" s="229">
        <v>207.25</v>
      </c>
      <c r="M25" s="229">
        <v>233.83</v>
      </c>
      <c r="N25" s="229">
        <v>175.2</v>
      </c>
      <c r="O25" s="229">
        <v>159.07</v>
      </c>
      <c r="P25" s="98">
        <f t="shared" si="2"/>
        <v>-9.2066210045662067E-2</v>
      </c>
      <c r="Q25" s="228">
        <f t="shared" si="3"/>
        <v>-16.129999999999995</v>
      </c>
    </row>
    <row r="26" spans="2:17" x14ac:dyDescent="0.25">
      <c r="B26" s="99" t="s">
        <v>63</v>
      </c>
      <c r="C26" s="230">
        <v>159.44</v>
      </c>
      <c r="D26" s="230">
        <v>0</v>
      </c>
      <c r="E26" s="230">
        <v>0</v>
      </c>
      <c r="F26" s="230">
        <v>0</v>
      </c>
      <c r="G26" s="230">
        <v>0</v>
      </c>
      <c r="H26" s="230">
        <v>0</v>
      </c>
      <c r="I26" s="100" t="str">
        <f t="shared" si="0"/>
        <v>-</v>
      </c>
      <c r="J26" s="230">
        <f t="shared" si="1"/>
        <v>0</v>
      </c>
      <c r="K26" s="231">
        <v>134.80000000000001</v>
      </c>
      <c r="L26" s="231">
        <v>0</v>
      </c>
      <c r="M26" s="231">
        <v>233.83</v>
      </c>
      <c r="N26" s="231">
        <v>0</v>
      </c>
      <c r="O26" s="231">
        <v>0</v>
      </c>
      <c r="P26" s="100" t="str">
        <f t="shared" si="2"/>
        <v>-</v>
      </c>
      <c r="Q26" s="230">
        <f t="shared" si="3"/>
        <v>0</v>
      </c>
    </row>
    <row r="27" spans="2:17" x14ac:dyDescent="0.25">
      <c r="B27" s="99" t="s">
        <v>64</v>
      </c>
      <c r="C27" s="230">
        <v>38.79</v>
      </c>
      <c r="D27" s="230">
        <v>0</v>
      </c>
      <c r="E27" s="230">
        <v>0</v>
      </c>
      <c r="F27" s="230">
        <v>0</v>
      </c>
      <c r="G27" s="230">
        <v>0</v>
      </c>
      <c r="H27" s="230">
        <v>0</v>
      </c>
      <c r="I27" s="100" t="str">
        <f t="shared" si="0"/>
        <v>-</v>
      </c>
      <c r="J27" s="230">
        <f t="shared" si="1"/>
        <v>0</v>
      </c>
      <c r="K27" s="231">
        <v>0</v>
      </c>
      <c r="L27" s="231">
        <v>0</v>
      </c>
      <c r="M27" s="231">
        <v>0</v>
      </c>
      <c r="N27" s="231">
        <v>0</v>
      </c>
      <c r="O27" s="231">
        <v>0</v>
      </c>
      <c r="P27" s="100" t="str">
        <f t="shared" si="2"/>
        <v>-</v>
      </c>
      <c r="Q27" s="230">
        <f t="shared" si="3"/>
        <v>0</v>
      </c>
    </row>
    <row r="28" spans="2:17" x14ac:dyDescent="0.25">
      <c r="B28" s="93" t="s">
        <v>50</v>
      </c>
      <c r="C28" s="232">
        <v>53.05</v>
      </c>
      <c r="D28" s="232">
        <v>53.52</v>
      </c>
      <c r="E28" s="232">
        <v>51.25</v>
      </c>
      <c r="F28" s="232">
        <v>59.12</v>
      </c>
      <c r="G28" s="232">
        <v>65.87</v>
      </c>
      <c r="H28" s="232">
        <v>74.569999999999993</v>
      </c>
      <c r="I28" s="102">
        <f t="shared" si="0"/>
        <v>0.13207833611659314</v>
      </c>
      <c r="J28" s="232">
        <f t="shared" si="1"/>
        <v>8.6999999999999886</v>
      </c>
      <c r="K28" s="233">
        <v>34.49</v>
      </c>
      <c r="L28" s="233">
        <v>49.5</v>
      </c>
      <c r="M28" s="233">
        <v>55.39</v>
      </c>
      <c r="N28" s="233">
        <v>64.28</v>
      </c>
      <c r="O28" s="233">
        <v>70.27</v>
      </c>
      <c r="P28" s="102">
        <f t="shared" si="2"/>
        <v>9.3186060983198482E-2</v>
      </c>
      <c r="Q28" s="232">
        <f t="shared" si="3"/>
        <v>5.9899999999999949</v>
      </c>
    </row>
    <row r="29" spans="2:17" x14ac:dyDescent="0.25">
      <c r="B29" s="96" t="s">
        <v>62</v>
      </c>
      <c r="C29" s="228">
        <v>55.71</v>
      </c>
      <c r="D29" s="228">
        <v>56.97</v>
      </c>
      <c r="E29" s="228">
        <v>54.03</v>
      </c>
      <c r="F29" s="228">
        <v>62.9</v>
      </c>
      <c r="G29" s="228">
        <v>69.91</v>
      </c>
      <c r="H29" s="228">
        <v>78.73</v>
      </c>
      <c r="I29" s="98">
        <f t="shared" si="0"/>
        <v>0.12616220855385496</v>
      </c>
      <c r="J29" s="228">
        <f t="shared" si="1"/>
        <v>8.8200000000000074</v>
      </c>
      <c r="K29" s="229">
        <v>35.14</v>
      </c>
      <c r="L29" s="229">
        <v>52.47</v>
      </c>
      <c r="M29" s="229">
        <v>59.42</v>
      </c>
      <c r="N29" s="229">
        <v>68.25</v>
      </c>
      <c r="O29" s="229">
        <v>75.56</v>
      </c>
      <c r="P29" s="98">
        <f t="shared" si="2"/>
        <v>0.10710622710622708</v>
      </c>
      <c r="Q29" s="228">
        <f t="shared" si="3"/>
        <v>7.3100000000000023</v>
      </c>
    </row>
    <row r="30" spans="2:17" x14ac:dyDescent="0.25">
      <c r="B30" s="99" t="s">
        <v>63</v>
      </c>
      <c r="C30" s="230">
        <v>59.21</v>
      </c>
      <c r="D30" s="230">
        <v>59.93</v>
      </c>
      <c r="E30" s="230">
        <v>57.07</v>
      </c>
      <c r="F30" s="230">
        <v>65.52</v>
      </c>
      <c r="G30" s="230">
        <v>72.760000000000005</v>
      </c>
      <c r="H30" s="230">
        <v>81.77</v>
      </c>
      <c r="I30" s="100">
        <f t="shared" si="0"/>
        <v>0.1238317757009344</v>
      </c>
      <c r="J30" s="230">
        <f t="shared" si="1"/>
        <v>9.0099999999999909</v>
      </c>
      <c r="K30" s="231">
        <v>36.840000000000003</v>
      </c>
      <c r="L30" s="231">
        <v>54.5</v>
      </c>
      <c r="M30" s="231">
        <v>61.78</v>
      </c>
      <c r="N30" s="231">
        <v>71.040000000000006</v>
      </c>
      <c r="O30" s="231">
        <v>78.87</v>
      </c>
      <c r="P30" s="100">
        <f t="shared" si="2"/>
        <v>0.11021959459459452</v>
      </c>
      <c r="Q30" s="230">
        <f t="shared" si="3"/>
        <v>7.8299999999999983</v>
      </c>
    </row>
    <row r="31" spans="2:17" x14ac:dyDescent="0.25">
      <c r="B31" s="99" t="s">
        <v>64</v>
      </c>
      <c r="C31" s="230">
        <v>40.03</v>
      </c>
      <c r="D31" s="230">
        <v>42.61</v>
      </c>
      <c r="E31" s="230">
        <v>41.43</v>
      </c>
      <c r="F31" s="230">
        <v>46.25</v>
      </c>
      <c r="G31" s="230">
        <v>50.96</v>
      </c>
      <c r="H31" s="230">
        <v>58.4</v>
      </c>
      <c r="I31" s="100">
        <f t="shared" si="0"/>
        <v>0.14599686028257453</v>
      </c>
      <c r="J31" s="230">
        <f t="shared" si="1"/>
        <v>7.4399999999999977</v>
      </c>
      <c r="K31" s="231">
        <v>29.62</v>
      </c>
      <c r="L31" s="231">
        <v>36.479999999999997</v>
      </c>
      <c r="M31" s="231">
        <v>43.6</v>
      </c>
      <c r="N31" s="231">
        <v>49.18</v>
      </c>
      <c r="O31" s="231">
        <v>52.81</v>
      </c>
      <c r="P31" s="100">
        <f t="shared" si="2"/>
        <v>7.3810492069947164E-2</v>
      </c>
      <c r="Q31" s="230">
        <f t="shared" si="3"/>
        <v>3.6300000000000026</v>
      </c>
    </row>
    <row r="32" spans="2:17" x14ac:dyDescent="0.25">
      <c r="B32" s="96" t="s">
        <v>65</v>
      </c>
      <c r="C32" s="228">
        <v>43</v>
      </c>
      <c r="D32" s="228">
        <v>43.27</v>
      </c>
      <c r="E32" s="228">
        <v>41.41</v>
      </c>
      <c r="F32" s="228">
        <v>43.49</v>
      </c>
      <c r="G32" s="228">
        <v>48.39</v>
      </c>
      <c r="H32" s="228">
        <v>55.8</v>
      </c>
      <c r="I32" s="98">
        <f t="shared" si="0"/>
        <v>0.15313081215127089</v>
      </c>
      <c r="J32" s="228">
        <f t="shared" si="1"/>
        <v>7.4099999999999966</v>
      </c>
      <c r="K32" s="229">
        <v>32.69</v>
      </c>
      <c r="L32" s="229">
        <v>35.11</v>
      </c>
      <c r="M32" s="229">
        <v>37.619999999999997</v>
      </c>
      <c r="N32" s="229">
        <v>45.51</v>
      </c>
      <c r="O32" s="229">
        <v>48.54</v>
      </c>
      <c r="P32" s="98">
        <f t="shared" si="2"/>
        <v>6.6578773895846988E-2</v>
      </c>
      <c r="Q32" s="228">
        <f t="shared" si="3"/>
        <v>3.0300000000000011</v>
      </c>
    </row>
    <row r="33" spans="2:17" x14ac:dyDescent="0.25">
      <c r="B33" s="93" t="s">
        <v>51</v>
      </c>
      <c r="C33" s="232">
        <v>81.38</v>
      </c>
      <c r="D33" s="232">
        <v>86.79</v>
      </c>
      <c r="E33" s="232">
        <v>84.44</v>
      </c>
      <c r="F33" s="232">
        <v>89.45</v>
      </c>
      <c r="G33" s="232">
        <v>98.5</v>
      </c>
      <c r="H33" s="232">
        <v>108.5</v>
      </c>
      <c r="I33" s="102">
        <f t="shared" si="0"/>
        <v>0.10152284263959399</v>
      </c>
      <c r="J33" s="232">
        <f t="shared" si="1"/>
        <v>10</v>
      </c>
      <c r="K33" s="233">
        <v>78.02</v>
      </c>
      <c r="L33" s="233">
        <v>80.44</v>
      </c>
      <c r="M33" s="233">
        <v>81.83</v>
      </c>
      <c r="N33" s="233">
        <v>97.42</v>
      </c>
      <c r="O33" s="233">
        <v>103.67</v>
      </c>
      <c r="P33" s="102">
        <f t="shared" si="2"/>
        <v>6.4155204270170296E-2</v>
      </c>
      <c r="Q33" s="232">
        <f t="shared" si="3"/>
        <v>6.25</v>
      </c>
    </row>
    <row r="34" spans="2:17" x14ac:dyDescent="0.25">
      <c r="B34" s="96" t="s">
        <v>62</v>
      </c>
      <c r="C34" s="228">
        <v>81.38</v>
      </c>
      <c r="D34" s="228">
        <v>86.79</v>
      </c>
      <c r="E34" s="228">
        <v>84.44</v>
      </c>
      <c r="F34" s="228">
        <v>89.45</v>
      </c>
      <c r="G34" s="228">
        <v>98.5</v>
      </c>
      <c r="H34" s="228">
        <v>108.5</v>
      </c>
      <c r="I34" s="98">
        <f t="shared" si="0"/>
        <v>0.10152284263959399</v>
      </c>
      <c r="J34" s="228">
        <f t="shared" si="1"/>
        <v>10</v>
      </c>
      <c r="K34" s="229">
        <v>78.02</v>
      </c>
      <c r="L34" s="229">
        <v>80.44</v>
      </c>
      <c r="M34" s="229">
        <v>81.83</v>
      </c>
      <c r="N34" s="229">
        <v>97.42</v>
      </c>
      <c r="O34" s="229">
        <v>103.67</v>
      </c>
      <c r="P34" s="98">
        <f t="shared" si="2"/>
        <v>6.4155204270170296E-2</v>
      </c>
      <c r="Q34" s="228">
        <f t="shared" si="3"/>
        <v>6.25</v>
      </c>
    </row>
    <row r="35" spans="2:17" x14ac:dyDescent="0.25">
      <c r="B35" s="93" t="s">
        <v>52</v>
      </c>
      <c r="C35" s="232">
        <v>85.19</v>
      </c>
      <c r="D35" s="232">
        <v>106.13</v>
      </c>
      <c r="E35" s="232">
        <v>125.31</v>
      </c>
      <c r="F35" s="232">
        <v>128.06</v>
      </c>
      <c r="G35" s="232">
        <v>149.08000000000001</v>
      </c>
      <c r="H35" s="232">
        <v>167.62</v>
      </c>
      <c r="I35" s="102">
        <f t="shared" si="0"/>
        <v>0.12436275825060372</v>
      </c>
      <c r="J35" s="232">
        <f t="shared" si="1"/>
        <v>18.539999999999992</v>
      </c>
      <c r="K35" s="233">
        <v>136.28</v>
      </c>
      <c r="L35" s="233">
        <v>113</v>
      </c>
      <c r="M35" s="233">
        <v>131.33000000000001</v>
      </c>
      <c r="N35" s="233">
        <v>154.88999999999999</v>
      </c>
      <c r="O35" s="233">
        <v>169.18</v>
      </c>
      <c r="P35" s="102">
        <f t="shared" si="2"/>
        <v>9.2259022532119817E-2</v>
      </c>
      <c r="Q35" s="232">
        <f t="shared" si="3"/>
        <v>14.29000000000002</v>
      </c>
    </row>
    <row r="36" spans="2:17" x14ac:dyDescent="0.25">
      <c r="B36" s="96" t="s">
        <v>62</v>
      </c>
      <c r="C36" s="228">
        <v>112.85</v>
      </c>
      <c r="D36" s="228">
        <v>133.72</v>
      </c>
      <c r="E36" s="228">
        <v>131.41999999999999</v>
      </c>
      <c r="F36" s="228">
        <v>137.6</v>
      </c>
      <c r="G36" s="228">
        <v>157.49</v>
      </c>
      <c r="H36" s="228">
        <v>177.79</v>
      </c>
      <c r="I36" s="98">
        <f t="shared" si="0"/>
        <v>0.12889707283002094</v>
      </c>
      <c r="J36" s="228">
        <f t="shared" si="1"/>
        <v>20.299999999999983</v>
      </c>
      <c r="K36" s="229">
        <v>138.22999999999999</v>
      </c>
      <c r="L36" s="229">
        <v>126.83</v>
      </c>
      <c r="M36" s="229">
        <v>137.69999999999999</v>
      </c>
      <c r="N36" s="229">
        <v>155.51</v>
      </c>
      <c r="O36" s="229">
        <v>180.49</v>
      </c>
      <c r="P36" s="98">
        <f t="shared" si="2"/>
        <v>0.16063275673590138</v>
      </c>
      <c r="Q36" s="228">
        <f t="shared" si="3"/>
        <v>24.980000000000018</v>
      </c>
    </row>
    <row r="37" spans="2:17" x14ac:dyDescent="0.25">
      <c r="B37" s="96" t="s">
        <v>65</v>
      </c>
      <c r="C37" s="228">
        <v>55.99</v>
      </c>
      <c r="D37" s="228">
        <v>41.89</v>
      </c>
      <c r="E37" s="228">
        <v>74.180000000000007</v>
      </c>
      <c r="F37" s="228">
        <v>78.69</v>
      </c>
      <c r="G37" s="228">
        <v>104.15</v>
      </c>
      <c r="H37" s="228">
        <v>109.88</v>
      </c>
      <c r="I37" s="98">
        <f t="shared" si="0"/>
        <v>5.5016802688430122E-2</v>
      </c>
      <c r="J37" s="228">
        <f t="shared" si="1"/>
        <v>5.7299999999999898</v>
      </c>
      <c r="K37" s="229">
        <v>47.58</v>
      </c>
      <c r="L37" s="229">
        <v>51.99</v>
      </c>
      <c r="M37" s="229">
        <v>95.84</v>
      </c>
      <c r="N37" s="229">
        <v>151.19999999999999</v>
      </c>
      <c r="O37" s="229">
        <v>112.35</v>
      </c>
      <c r="P37" s="98">
        <f t="shared" si="2"/>
        <v>-0.25694444444444442</v>
      </c>
      <c r="Q37" s="228">
        <f t="shared" si="3"/>
        <v>-38.849999999999994</v>
      </c>
    </row>
    <row r="38" spans="2:17" x14ac:dyDescent="0.25">
      <c r="B38" s="93" t="s">
        <v>53</v>
      </c>
      <c r="C38" s="232">
        <v>63.43</v>
      </c>
      <c r="D38" s="232">
        <v>64.19</v>
      </c>
      <c r="E38" s="232">
        <v>68.989999999999995</v>
      </c>
      <c r="F38" s="232">
        <v>76.34</v>
      </c>
      <c r="G38" s="232">
        <v>86.65</v>
      </c>
      <c r="H38" s="232">
        <v>96.86</v>
      </c>
      <c r="I38" s="102">
        <f t="shared" si="0"/>
        <v>0.1178303519907673</v>
      </c>
      <c r="J38" s="232">
        <f t="shared" si="1"/>
        <v>10.209999999999994</v>
      </c>
      <c r="K38" s="233">
        <v>62.32</v>
      </c>
      <c r="L38" s="233">
        <v>77.150000000000006</v>
      </c>
      <c r="M38" s="233">
        <v>77.33</v>
      </c>
      <c r="N38" s="233">
        <v>89.71</v>
      </c>
      <c r="O38" s="233">
        <v>89.09</v>
      </c>
      <c r="P38" s="102">
        <f t="shared" si="2"/>
        <v>-6.9111581763459107E-3</v>
      </c>
      <c r="Q38" s="232">
        <f t="shared" si="3"/>
        <v>-0.61999999999999034</v>
      </c>
    </row>
    <row r="39" spans="2:17" x14ac:dyDescent="0.25">
      <c r="B39" s="96" t="s">
        <v>62</v>
      </c>
      <c r="C39" s="228">
        <v>63.43</v>
      </c>
      <c r="D39" s="228">
        <v>64.19</v>
      </c>
      <c r="E39" s="228">
        <v>68.989999999999995</v>
      </c>
      <c r="F39" s="228">
        <v>76.34</v>
      </c>
      <c r="G39" s="228">
        <v>86.65</v>
      </c>
      <c r="H39" s="228">
        <v>96.86</v>
      </c>
      <c r="I39" s="98">
        <f t="shared" si="0"/>
        <v>0.1178303519907673</v>
      </c>
      <c r="J39" s="228">
        <f t="shared" si="1"/>
        <v>10.209999999999994</v>
      </c>
      <c r="K39" s="229">
        <v>62.32</v>
      </c>
      <c r="L39" s="229">
        <v>77.150000000000006</v>
      </c>
      <c r="M39" s="229">
        <v>77.33</v>
      </c>
      <c r="N39" s="229">
        <v>89.71</v>
      </c>
      <c r="O39" s="229">
        <v>89.09</v>
      </c>
      <c r="P39" s="98">
        <f t="shared" si="2"/>
        <v>-6.9111581763459107E-3</v>
      </c>
      <c r="Q39" s="228">
        <f t="shared" si="3"/>
        <v>-0.61999999999999034</v>
      </c>
    </row>
    <row r="40" spans="2:17" x14ac:dyDescent="0.25">
      <c r="B40" s="99" t="s">
        <v>63</v>
      </c>
      <c r="C40" s="230">
        <v>80.7</v>
      </c>
      <c r="D40" s="230">
        <v>76.319999999999993</v>
      </c>
      <c r="E40" s="230">
        <v>76.47</v>
      </c>
      <c r="F40" s="230">
        <v>90.03</v>
      </c>
      <c r="G40" s="230">
        <v>101.46</v>
      </c>
      <c r="H40" s="230">
        <v>115.08</v>
      </c>
      <c r="I40" s="100">
        <f t="shared" si="0"/>
        <v>0.13424009461856889</v>
      </c>
      <c r="J40" s="230">
        <f t="shared" si="1"/>
        <v>13.620000000000005</v>
      </c>
      <c r="K40" s="231">
        <v>66.56</v>
      </c>
      <c r="L40" s="231">
        <v>91.24</v>
      </c>
      <c r="M40" s="231">
        <v>88.04</v>
      </c>
      <c r="N40" s="231">
        <v>105.89</v>
      </c>
      <c r="O40" s="231">
        <v>104.71</v>
      </c>
      <c r="P40" s="100">
        <f t="shared" si="2"/>
        <v>-1.1143639626027046E-2</v>
      </c>
      <c r="Q40" s="230">
        <f t="shared" si="3"/>
        <v>-1.1800000000000068</v>
      </c>
    </row>
    <row r="41" spans="2:17" x14ac:dyDescent="0.25">
      <c r="B41" s="99" t="s">
        <v>64</v>
      </c>
      <c r="C41" s="230">
        <v>47.71</v>
      </c>
      <c r="D41" s="230">
        <v>52.19</v>
      </c>
      <c r="E41" s="230">
        <v>57.98</v>
      </c>
      <c r="F41" s="230">
        <v>57.94</v>
      </c>
      <c r="G41" s="230">
        <v>67.42</v>
      </c>
      <c r="H41" s="230">
        <v>70.06</v>
      </c>
      <c r="I41" s="100">
        <f t="shared" si="0"/>
        <v>3.915752002373174E-2</v>
      </c>
      <c r="J41" s="230">
        <f t="shared" si="1"/>
        <v>2.6400000000000006</v>
      </c>
      <c r="K41" s="231">
        <v>56</v>
      </c>
      <c r="L41" s="231">
        <v>58.71</v>
      </c>
      <c r="M41" s="231">
        <v>63.17</v>
      </c>
      <c r="N41" s="231">
        <v>68.459999999999994</v>
      </c>
      <c r="O41" s="231">
        <v>60.68</v>
      </c>
      <c r="P41" s="100">
        <f t="shared" si="2"/>
        <v>-0.11364300321355525</v>
      </c>
      <c r="Q41" s="230">
        <f t="shared" si="3"/>
        <v>-7.779999999999994</v>
      </c>
    </row>
    <row r="42" spans="2:17" x14ac:dyDescent="0.25">
      <c r="B42" s="93" t="s">
        <v>54</v>
      </c>
      <c r="C42" s="232">
        <v>92.8</v>
      </c>
      <c r="D42" s="232">
        <v>102.24</v>
      </c>
      <c r="E42" s="232">
        <v>98.71</v>
      </c>
      <c r="F42" s="232">
        <v>114.5</v>
      </c>
      <c r="G42" s="232">
        <v>129.04</v>
      </c>
      <c r="H42" s="232">
        <v>138.44999999999999</v>
      </c>
      <c r="I42" s="102">
        <f t="shared" si="0"/>
        <v>7.292312461252326E-2</v>
      </c>
      <c r="J42" s="232">
        <f t="shared" si="1"/>
        <v>9.4099999999999966</v>
      </c>
      <c r="K42" s="233">
        <v>76.55</v>
      </c>
      <c r="L42" s="233">
        <v>110.79</v>
      </c>
      <c r="M42" s="233">
        <v>119.94</v>
      </c>
      <c r="N42" s="233">
        <v>131.65</v>
      </c>
      <c r="O42" s="233">
        <v>107.09</v>
      </c>
      <c r="P42" s="102">
        <f t="shared" si="2"/>
        <v>-0.18655526015951385</v>
      </c>
      <c r="Q42" s="232">
        <f t="shared" si="3"/>
        <v>-24.560000000000002</v>
      </c>
    </row>
    <row r="43" spans="2:17" x14ac:dyDescent="0.25">
      <c r="B43" s="96" t="s">
        <v>62</v>
      </c>
      <c r="C43" s="228">
        <v>97.8</v>
      </c>
      <c r="D43" s="228">
        <v>108.14</v>
      </c>
      <c r="E43" s="228">
        <v>104.52</v>
      </c>
      <c r="F43" s="228">
        <v>121.1</v>
      </c>
      <c r="G43" s="228">
        <v>137.22999999999999</v>
      </c>
      <c r="H43" s="228">
        <v>145.38999999999999</v>
      </c>
      <c r="I43" s="98">
        <f t="shared" si="0"/>
        <v>5.9462216716461347E-2</v>
      </c>
      <c r="J43" s="228">
        <f t="shared" si="1"/>
        <v>8.1599999999999966</v>
      </c>
      <c r="K43" s="229">
        <v>89.95</v>
      </c>
      <c r="L43" s="229">
        <v>113.48</v>
      </c>
      <c r="M43" s="229">
        <v>126.96</v>
      </c>
      <c r="N43" s="229">
        <v>139.97</v>
      </c>
      <c r="O43" s="229">
        <v>111.88</v>
      </c>
      <c r="P43" s="98">
        <f t="shared" si="2"/>
        <v>-0.20068586125598342</v>
      </c>
      <c r="Q43" s="228">
        <f t="shared" si="3"/>
        <v>-28.090000000000003</v>
      </c>
    </row>
    <row r="44" spans="2:17" x14ac:dyDescent="0.25">
      <c r="B44" s="99" t="s">
        <v>63</v>
      </c>
      <c r="C44" s="230">
        <v>101.92</v>
      </c>
      <c r="D44" s="230">
        <v>0</v>
      </c>
      <c r="E44" s="230">
        <v>111.35</v>
      </c>
      <c r="F44" s="230">
        <v>128.75</v>
      </c>
      <c r="G44" s="230">
        <v>146.41</v>
      </c>
      <c r="H44" s="230">
        <v>153.15</v>
      </c>
      <c r="I44" s="100">
        <f t="shared" si="0"/>
        <v>4.6035106891605837E-2</v>
      </c>
      <c r="J44" s="230">
        <f t="shared" si="1"/>
        <v>6.7400000000000091</v>
      </c>
      <c r="K44" s="231">
        <v>0</v>
      </c>
      <c r="L44" s="231">
        <v>120.57</v>
      </c>
      <c r="M44" s="231">
        <v>134.07</v>
      </c>
      <c r="N44" s="231">
        <v>145.27000000000001</v>
      </c>
      <c r="O44" s="231">
        <v>112.21</v>
      </c>
      <c r="P44" s="100">
        <f t="shared" si="2"/>
        <v>-0.22757623735113941</v>
      </c>
      <c r="Q44" s="230">
        <f t="shared" si="3"/>
        <v>-33.060000000000016</v>
      </c>
    </row>
    <row r="45" spans="2:17" x14ac:dyDescent="0.25">
      <c r="B45" s="99" t="s">
        <v>64</v>
      </c>
      <c r="C45" s="230">
        <v>81.52</v>
      </c>
      <c r="D45" s="230">
        <v>0</v>
      </c>
      <c r="E45" s="230">
        <v>79.67</v>
      </c>
      <c r="F45" s="230">
        <v>92.67</v>
      </c>
      <c r="G45" s="230">
        <v>100.97</v>
      </c>
      <c r="H45" s="230">
        <v>114.46</v>
      </c>
      <c r="I45" s="100">
        <f t="shared" si="0"/>
        <v>0.13360404080419919</v>
      </c>
      <c r="J45" s="230">
        <f t="shared" si="1"/>
        <v>13.489999999999995</v>
      </c>
      <c r="K45" s="231">
        <v>0</v>
      </c>
      <c r="L45" s="231">
        <v>89.09</v>
      </c>
      <c r="M45" s="231">
        <v>101.13</v>
      </c>
      <c r="N45" s="231">
        <v>120</v>
      </c>
      <c r="O45" s="231">
        <v>110.64</v>
      </c>
      <c r="P45" s="100">
        <f t="shared" si="2"/>
        <v>-7.7999999999999958E-2</v>
      </c>
      <c r="Q45" s="230">
        <f t="shared" si="3"/>
        <v>-9.36</v>
      </c>
    </row>
    <row r="46" spans="2:17" x14ac:dyDescent="0.25">
      <c r="B46" s="96" t="s">
        <v>65</v>
      </c>
      <c r="C46" s="228">
        <v>74.09</v>
      </c>
      <c r="D46" s="228">
        <v>76.39</v>
      </c>
      <c r="E46" s="228">
        <v>66.930000000000007</v>
      </c>
      <c r="F46" s="228">
        <v>72.900000000000006</v>
      </c>
      <c r="G46" s="228">
        <v>77.459999999999994</v>
      </c>
      <c r="H46" s="228">
        <v>94.86</v>
      </c>
      <c r="I46" s="98">
        <f t="shared" si="0"/>
        <v>0.22463206816421377</v>
      </c>
      <c r="J46" s="228">
        <f t="shared" si="1"/>
        <v>17.400000000000006</v>
      </c>
      <c r="K46" s="229">
        <v>44.71</v>
      </c>
      <c r="L46" s="229">
        <v>87.4</v>
      </c>
      <c r="M46" s="229">
        <v>61.8</v>
      </c>
      <c r="N46" s="229">
        <v>67.3</v>
      </c>
      <c r="O46" s="229">
        <v>73.23</v>
      </c>
      <c r="P46" s="98">
        <f t="shared" si="2"/>
        <v>8.811292719167918E-2</v>
      </c>
      <c r="Q46" s="228">
        <f t="shared" si="3"/>
        <v>5.9300000000000068</v>
      </c>
    </row>
    <row r="47" spans="2:17" x14ac:dyDescent="0.25">
      <c r="B47" s="93" t="s">
        <v>55</v>
      </c>
      <c r="C47" s="232">
        <v>55.1</v>
      </c>
      <c r="D47" s="232">
        <v>58.1</v>
      </c>
      <c r="E47" s="232">
        <v>74.28</v>
      </c>
      <c r="F47" s="232">
        <v>64.23</v>
      </c>
      <c r="G47" s="232">
        <v>69.86</v>
      </c>
      <c r="H47" s="232">
        <v>72.739999999999995</v>
      </c>
      <c r="I47" s="102">
        <f t="shared" si="0"/>
        <v>4.1225307758373742E-2</v>
      </c>
      <c r="J47" s="232">
        <f t="shared" si="1"/>
        <v>2.8799999999999955</v>
      </c>
      <c r="K47" s="233">
        <v>67.430000000000007</v>
      </c>
      <c r="L47" s="233">
        <v>55.3</v>
      </c>
      <c r="M47" s="233">
        <v>48.47</v>
      </c>
      <c r="N47" s="233">
        <v>48.39</v>
      </c>
      <c r="O47" s="233">
        <v>52.16</v>
      </c>
      <c r="P47" s="102">
        <f t="shared" si="2"/>
        <v>7.7908658813804488E-2</v>
      </c>
      <c r="Q47" s="232">
        <f t="shared" si="3"/>
        <v>3.769999999999996</v>
      </c>
    </row>
    <row r="48" spans="2:17" x14ac:dyDescent="0.25">
      <c r="B48" s="96" t="s">
        <v>62</v>
      </c>
      <c r="C48" s="228">
        <v>55.02</v>
      </c>
      <c r="D48" s="228">
        <v>57.83</v>
      </c>
      <c r="E48" s="228">
        <v>74.63</v>
      </c>
      <c r="F48" s="228">
        <v>64.650000000000006</v>
      </c>
      <c r="G48" s="228">
        <v>69.94</v>
      </c>
      <c r="H48" s="228">
        <v>73.959999999999994</v>
      </c>
      <c r="I48" s="98">
        <f t="shared" si="0"/>
        <v>5.7477838146983151E-2</v>
      </c>
      <c r="J48" s="228">
        <f t="shared" si="1"/>
        <v>4.019999999999996</v>
      </c>
      <c r="K48" s="229">
        <v>67.69</v>
      </c>
      <c r="L48" s="229">
        <v>55.82</v>
      </c>
      <c r="M48" s="229">
        <v>47.45</v>
      </c>
      <c r="N48" s="229">
        <v>48.85</v>
      </c>
      <c r="O48" s="229">
        <v>52.11</v>
      </c>
      <c r="P48" s="98">
        <f t="shared" si="2"/>
        <v>6.6734902763561976E-2</v>
      </c>
      <c r="Q48" s="228">
        <f t="shared" si="3"/>
        <v>3.259999999999998</v>
      </c>
    </row>
    <row r="49" spans="2:17" x14ac:dyDescent="0.25">
      <c r="B49" s="99" t="s">
        <v>63</v>
      </c>
      <c r="C49" s="230">
        <v>58.12</v>
      </c>
      <c r="D49" s="230">
        <v>59.72</v>
      </c>
      <c r="E49" s="230">
        <v>75.540000000000006</v>
      </c>
      <c r="F49" s="230">
        <v>69.69</v>
      </c>
      <c r="G49" s="230">
        <v>76.47</v>
      </c>
      <c r="H49" s="230">
        <v>79.3</v>
      </c>
      <c r="I49" s="100">
        <f t="shared" si="0"/>
        <v>3.7007976984438251E-2</v>
      </c>
      <c r="J49" s="230">
        <f t="shared" si="1"/>
        <v>2.8299999999999983</v>
      </c>
      <c r="K49" s="231">
        <v>64.790000000000006</v>
      </c>
      <c r="L49" s="231">
        <v>51.08</v>
      </c>
      <c r="M49" s="231">
        <v>52.27</v>
      </c>
      <c r="N49" s="231">
        <v>54.09</v>
      </c>
      <c r="O49" s="231">
        <v>53.61</v>
      </c>
      <c r="P49" s="100">
        <f t="shared" si="2"/>
        <v>-8.8740987243484115E-3</v>
      </c>
      <c r="Q49" s="230">
        <f t="shared" si="3"/>
        <v>-0.48000000000000398</v>
      </c>
    </row>
    <row r="50" spans="2:17" x14ac:dyDescent="0.25">
      <c r="B50" s="99" t="s">
        <v>64</v>
      </c>
      <c r="C50" s="230">
        <v>43.08</v>
      </c>
      <c r="D50" s="230">
        <v>52.07</v>
      </c>
      <c r="E50" s="230">
        <v>70.77</v>
      </c>
      <c r="F50" s="230">
        <v>51.36</v>
      </c>
      <c r="G50" s="230">
        <v>51.21</v>
      </c>
      <c r="H50" s="230">
        <v>60.22</v>
      </c>
      <c r="I50" s="100">
        <f t="shared" si="0"/>
        <v>0.17594219878929884</v>
      </c>
      <c r="J50" s="230">
        <f t="shared" si="1"/>
        <v>9.009999999999998</v>
      </c>
      <c r="K50" s="231">
        <v>101.35</v>
      </c>
      <c r="L50" s="231">
        <v>72.55</v>
      </c>
      <c r="M50" s="231">
        <v>35.71</v>
      </c>
      <c r="N50" s="231">
        <v>36.68</v>
      </c>
      <c r="O50" s="231">
        <v>48.42</v>
      </c>
      <c r="P50" s="100">
        <f t="shared" si="2"/>
        <v>0.32006543075245375</v>
      </c>
      <c r="Q50" s="230">
        <f t="shared" si="3"/>
        <v>11.740000000000002</v>
      </c>
    </row>
    <row r="51" spans="2:17" x14ac:dyDescent="0.25">
      <c r="B51" s="96" t="s">
        <v>65</v>
      </c>
      <c r="C51" s="228">
        <v>56.8</v>
      </c>
      <c r="D51" s="228">
        <v>83.93</v>
      </c>
      <c r="E51" s="228">
        <v>154.72</v>
      </c>
      <c r="F51" s="228">
        <v>191.76</v>
      </c>
      <c r="G51" s="228">
        <v>163.5</v>
      </c>
      <c r="H51" s="228">
        <v>87.87</v>
      </c>
      <c r="I51" s="98">
        <f t="shared" si="0"/>
        <v>-0.46256880733944949</v>
      </c>
      <c r="J51" s="228">
        <f t="shared" si="1"/>
        <v>-75.63</v>
      </c>
      <c r="K51" s="229">
        <v>172.05</v>
      </c>
      <c r="L51" s="229">
        <v>122.84</v>
      </c>
      <c r="M51" s="229">
        <v>122.57</v>
      </c>
      <c r="N51" s="229">
        <v>44.64</v>
      </c>
      <c r="O51" s="229">
        <v>101.63</v>
      </c>
      <c r="P51" s="98">
        <f t="shared" si="2"/>
        <v>1.2766577060931898</v>
      </c>
      <c r="Q51" s="228">
        <f t="shared" si="3"/>
        <v>56.989999999999995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95C95-2D1B-4D57-BBA4-B3DB1B2EB7F2}">
  <sheetPr>
    <tabColor theme="2" tint="-9.9978637043366805E-2"/>
  </sheetPr>
  <dimension ref="B1:Q53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9" width="10.7109375" customWidth="1"/>
    <col min="10" max="10" width="9.7109375" customWidth="1"/>
    <col min="11" max="15" width="12.28515625" customWidth="1"/>
    <col min="16" max="17" width="10.7109375" customWidth="1"/>
    <col min="18" max="18" width="14.42578125" customWidth="1"/>
    <col min="19" max="20" width="7.85546875" customWidth="1"/>
    <col min="21" max="21" width="8.140625" customWidth="1"/>
    <col min="22" max="22" width="9" customWidth="1"/>
    <col min="23" max="24" width="9.42578125" customWidth="1"/>
  </cols>
  <sheetData>
    <row r="1" spans="2:17" ht="42.75" customHeight="1" x14ac:dyDescent="0.25"/>
    <row r="3" spans="2:17" ht="30.75" customHeight="1" thickBot="1" x14ac:dyDescent="0.3">
      <c r="B3" s="84" t="str">
        <f>CONCATENATE("Ingresos medios por habitación (RevPar) Tenerife y municipios")</f>
        <v>Ingresos medios por habitación (RevPar)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</row>
    <row r="4" spans="2:17" ht="6.95" customHeight="1" thickBot="1" x14ac:dyDescent="0.3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6"/>
      <c r="P4" s="86"/>
      <c r="Q4" s="86"/>
    </row>
    <row r="5" spans="2:17" ht="59.25" customHeight="1" x14ac:dyDescent="0.25">
      <c r="B5" s="90"/>
      <c r="C5" s="14">
        <v>2019</v>
      </c>
      <c r="D5" s="14">
        <v>2020</v>
      </c>
      <c r="E5" s="14">
        <v>2021</v>
      </c>
      <c r="F5" s="14">
        <v>2022</v>
      </c>
      <c r="G5" s="14">
        <v>2023</v>
      </c>
      <c r="H5" s="14">
        <v>2024</v>
      </c>
      <c r="I5" s="91" t="str">
        <f>CONCATENATE("var. ",RIGHT(H5,2),"/",RIGHT(G5,2))</f>
        <v>var. 24/23</v>
      </c>
      <c r="J5" s="91" t="str">
        <f>CONCATENATE("dif. ",RIGHT(H5,2),"/",RIGHT(G5,2))</f>
        <v>dif. 24/23</v>
      </c>
      <c r="K5" s="92" t="s">
        <v>224</v>
      </c>
      <c r="L5" s="92" t="s">
        <v>225</v>
      </c>
      <c r="M5" s="92" t="s">
        <v>226</v>
      </c>
      <c r="N5" s="92" t="s">
        <v>227</v>
      </c>
      <c r="O5" s="92" t="s">
        <v>228</v>
      </c>
      <c r="P5" s="91" t="str">
        <f>CONCATENATE("var. ",RIGHT(O5,2),"/",RIGHT(N5,2))</f>
        <v>var. 25/24</v>
      </c>
      <c r="Q5" s="91" t="str">
        <f>CONCATENATE("dif. ",RIGHT(O5,2),"/",RIGHT(N5,2))</f>
        <v>dif. 25/24</v>
      </c>
    </row>
    <row r="6" spans="2:17" x14ac:dyDescent="0.25">
      <c r="B6" s="93" t="s">
        <v>45</v>
      </c>
      <c r="C6" s="226">
        <v>70.459999999999994</v>
      </c>
      <c r="D6" s="226">
        <v>47.83</v>
      </c>
      <c r="E6" s="226">
        <v>53</v>
      </c>
      <c r="F6" s="226">
        <v>80.58</v>
      </c>
      <c r="G6" s="226">
        <v>93.24</v>
      </c>
      <c r="H6" s="226">
        <v>104.71</v>
      </c>
      <c r="I6" s="95">
        <f t="shared" ref="I6:I51" si="0">IFERROR(H6/G6-1,"-")</f>
        <v>0.12301587301587302</v>
      </c>
      <c r="J6" s="226">
        <f t="shared" ref="J6:J51" si="1">IFERROR(H6-G6,"-")</f>
        <v>11.469999999999999</v>
      </c>
      <c r="K6" s="227">
        <v>28.85</v>
      </c>
      <c r="L6" s="227">
        <v>66.599999999999994</v>
      </c>
      <c r="M6" s="227">
        <v>73.930000000000007</v>
      </c>
      <c r="N6" s="227">
        <v>80.430000000000007</v>
      </c>
      <c r="O6" s="227">
        <v>87.95</v>
      </c>
      <c r="P6" s="95">
        <f t="shared" ref="P6:P51" si="2">IFERROR(O6/N6-1,"-")</f>
        <v>9.3497451199801018E-2</v>
      </c>
      <c r="Q6" s="226">
        <f t="shared" ref="Q6:Q51" si="3">IFERROR(O6-N6,"-")</f>
        <v>7.519999999999996</v>
      </c>
    </row>
    <row r="7" spans="2:17" x14ac:dyDescent="0.25">
      <c r="B7" s="96" t="s">
        <v>62</v>
      </c>
      <c r="C7" s="228">
        <v>77.33</v>
      </c>
      <c r="D7" s="228">
        <v>53.19</v>
      </c>
      <c r="E7" s="228">
        <v>60.01</v>
      </c>
      <c r="F7" s="228">
        <v>88.2</v>
      </c>
      <c r="G7" s="228">
        <v>102.89</v>
      </c>
      <c r="H7" s="228">
        <v>114.62</v>
      </c>
      <c r="I7" s="98">
        <f t="shared" si="0"/>
        <v>0.11400524832345238</v>
      </c>
      <c r="J7" s="228">
        <f t="shared" si="1"/>
        <v>11.730000000000004</v>
      </c>
      <c r="K7" s="229">
        <v>32.58</v>
      </c>
      <c r="L7" s="229">
        <v>73.61</v>
      </c>
      <c r="M7" s="229">
        <v>81.98</v>
      </c>
      <c r="N7" s="229">
        <v>86.98</v>
      </c>
      <c r="O7" s="229">
        <v>95.51</v>
      </c>
      <c r="P7" s="98">
        <f t="shared" si="2"/>
        <v>9.8068521499195205E-2</v>
      </c>
      <c r="Q7" s="228">
        <f t="shared" si="3"/>
        <v>8.5300000000000011</v>
      </c>
    </row>
    <row r="8" spans="2:17" x14ac:dyDescent="0.25">
      <c r="B8" s="99" t="s">
        <v>63</v>
      </c>
      <c r="C8" s="230">
        <v>85.32</v>
      </c>
      <c r="D8" s="230">
        <v>58.8</v>
      </c>
      <c r="E8" s="230">
        <v>66.349999999999994</v>
      </c>
      <c r="F8" s="230">
        <v>96.91</v>
      </c>
      <c r="G8" s="230">
        <v>111.61</v>
      </c>
      <c r="H8" s="230">
        <v>124.26</v>
      </c>
      <c r="I8" s="100">
        <f t="shared" si="0"/>
        <v>0.11334109846787932</v>
      </c>
      <c r="J8" s="230">
        <f t="shared" si="1"/>
        <v>12.650000000000006</v>
      </c>
      <c r="K8" s="231">
        <v>35.799999999999997</v>
      </c>
      <c r="L8" s="231">
        <v>80.98</v>
      </c>
      <c r="M8" s="231">
        <v>88.99</v>
      </c>
      <c r="N8" s="231">
        <v>93.69</v>
      </c>
      <c r="O8" s="231">
        <v>103.05</v>
      </c>
      <c r="P8" s="100">
        <f t="shared" si="2"/>
        <v>9.9903938520653268E-2</v>
      </c>
      <c r="Q8" s="230">
        <f t="shared" si="3"/>
        <v>9.36</v>
      </c>
    </row>
    <row r="9" spans="2:17" x14ac:dyDescent="0.25">
      <c r="B9" s="99" t="s">
        <v>64</v>
      </c>
      <c r="C9" s="230">
        <v>46.17</v>
      </c>
      <c r="D9" s="230">
        <v>29.69</v>
      </c>
      <c r="E9" s="230">
        <v>31.06</v>
      </c>
      <c r="F9" s="230">
        <v>47.58</v>
      </c>
      <c r="G9" s="230">
        <v>59.03</v>
      </c>
      <c r="H9" s="230">
        <v>65.099999999999994</v>
      </c>
      <c r="I9" s="100">
        <f t="shared" si="0"/>
        <v>0.10282906996442476</v>
      </c>
      <c r="J9" s="230">
        <f t="shared" si="1"/>
        <v>6.0699999999999932</v>
      </c>
      <c r="K9" s="231">
        <v>14.7</v>
      </c>
      <c r="L9" s="231">
        <v>39.17</v>
      </c>
      <c r="M9" s="231">
        <v>45.89</v>
      </c>
      <c r="N9" s="231">
        <v>51.63</v>
      </c>
      <c r="O9" s="231">
        <v>56</v>
      </c>
      <c r="P9" s="100">
        <f t="shared" si="2"/>
        <v>8.4640712763896842E-2</v>
      </c>
      <c r="Q9" s="230">
        <f t="shared" si="3"/>
        <v>4.3699999999999974</v>
      </c>
    </row>
    <row r="10" spans="2:17" x14ac:dyDescent="0.25">
      <c r="B10" s="96" t="s">
        <v>65</v>
      </c>
      <c r="C10" s="228">
        <v>51.25</v>
      </c>
      <c r="D10" s="228">
        <v>33.86</v>
      </c>
      <c r="E10" s="228">
        <v>30.93</v>
      </c>
      <c r="F10" s="228">
        <v>53.23</v>
      </c>
      <c r="G10" s="228">
        <v>60.79</v>
      </c>
      <c r="H10" s="228">
        <v>70.290000000000006</v>
      </c>
      <c r="I10" s="98">
        <f t="shared" si="0"/>
        <v>0.15627570324066475</v>
      </c>
      <c r="J10" s="228">
        <f t="shared" si="1"/>
        <v>9.5000000000000071</v>
      </c>
      <c r="K10" s="229">
        <v>18.13</v>
      </c>
      <c r="L10" s="229">
        <v>41.66</v>
      </c>
      <c r="M10" s="229">
        <v>47.1</v>
      </c>
      <c r="N10" s="229">
        <v>57.65</v>
      </c>
      <c r="O10" s="229">
        <v>63.07</v>
      </c>
      <c r="P10" s="98">
        <f t="shared" si="2"/>
        <v>9.4015611448395431E-2</v>
      </c>
      <c r="Q10" s="228">
        <f t="shared" si="3"/>
        <v>5.4200000000000017</v>
      </c>
    </row>
    <row r="11" spans="2:17" x14ac:dyDescent="0.25">
      <c r="B11" s="93" t="s">
        <v>46</v>
      </c>
      <c r="C11" s="232">
        <v>89.94</v>
      </c>
      <c r="D11" s="232">
        <v>61.17</v>
      </c>
      <c r="E11" s="232">
        <v>72.88</v>
      </c>
      <c r="F11" s="232">
        <v>107.72</v>
      </c>
      <c r="G11" s="232">
        <v>119.35</v>
      </c>
      <c r="H11" s="232">
        <v>131.18</v>
      </c>
      <c r="I11" s="102">
        <f t="shared" si="0"/>
        <v>9.9120234604105573E-2</v>
      </c>
      <c r="J11" s="232">
        <f t="shared" si="1"/>
        <v>11.830000000000013</v>
      </c>
      <c r="K11" s="233">
        <v>35.590000000000003</v>
      </c>
      <c r="L11" s="233">
        <v>87.91</v>
      </c>
      <c r="M11" s="233">
        <v>91.44</v>
      </c>
      <c r="N11" s="233">
        <v>96.77</v>
      </c>
      <c r="O11" s="233">
        <v>104.28</v>
      </c>
      <c r="P11" s="102">
        <f t="shared" si="2"/>
        <v>7.7606696290172694E-2</v>
      </c>
      <c r="Q11" s="232">
        <f t="shared" si="3"/>
        <v>7.5100000000000051</v>
      </c>
    </row>
    <row r="12" spans="2:17" x14ac:dyDescent="0.25">
      <c r="B12" s="96" t="s">
        <v>62</v>
      </c>
      <c r="C12" s="228">
        <v>98.21</v>
      </c>
      <c r="D12" s="228">
        <v>66.36</v>
      </c>
      <c r="E12" s="228">
        <v>79.650000000000006</v>
      </c>
      <c r="F12" s="228">
        <v>116.54</v>
      </c>
      <c r="G12" s="228">
        <v>130.88999999999999</v>
      </c>
      <c r="H12" s="228">
        <v>144.94</v>
      </c>
      <c r="I12" s="98">
        <f t="shared" si="0"/>
        <v>0.10734204293681726</v>
      </c>
      <c r="J12" s="228">
        <f t="shared" si="1"/>
        <v>14.050000000000011</v>
      </c>
      <c r="K12" s="229">
        <v>38.18</v>
      </c>
      <c r="L12" s="229">
        <v>95.16</v>
      </c>
      <c r="M12" s="229">
        <v>100.01</v>
      </c>
      <c r="N12" s="229">
        <v>106.95</v>
      </c>
      <c r="O12" s="229">
        <v>115.98</v>
      </c>
      <c r="P12" s="98">
        <f t="shared" si="2"/>
        <v>8.4431977559607407E-2</v>
      </c>
      <c r="Q12" s="228">
        <f t="shared" si="3"/>
        <v>9.0300000000000011</v>
      </c>
    </row>
    <row r="13" spans="2:17" x14ac:dyDescent="0.25">
      <c r="B13" s="99" t="s">
        <v>63</v>
      </c>
      <c r="C13" s="230">
        <v>106.38</v>
      </c>
      <c r="D13" s="230">
        <v>71.150000000000006</v>
      </c>
      <c r="E13" s="230">
        <v>85.14</v>
      </c>
      <c r="F13" s="230">
        <v>125.38</v>
      </c>
      <c r="G13" s="230">
        <v>140.15</v>
      </c>
      <c r="H13" s="230">
        <v>154.63999999999999</v>
      </c>
      <c r="I13" s="100">
        <f t="shared" si="0"/>
        <v>0.10338922582946819</v>
      </c>
      <c r="J13" s="230">
        <f t="shared" si="1"/>
        <v>14.489999999999981</v>
      </c>
      <c r="K13" s="231">
        <v>40.49</v>
      </c>
      <c r="L13" s="231">
        <v>102.79</v>
      </c>
      <c r="M13" s="231">
        <v>107.36</v>
      </c>
      <c r="N13" s="231">
        <v>113.79</v>
      </c>
      <c r="O13" s="231">
        <v>123.92</v>
      </c>
      <c r="P13" s="100">
        <f t="shared" si="2"/>
        <v>8.9023640038667695E-2</v>
      </c>
      <c r="Q13" s="230">
        <f t="shared" si="3"/>
        <v>10.129999999999995</v>
      </c>
    </row>
    <row r="14" spans="2:17" x14ac:dyDescent="0.25">
      <c r="B14" s="99" t="s">
        <v>64</v>
      </c>
      <c r="C14" s="230">
        <v>53.15</v>
      </c>
      <c r="D14" s="230">
        <v>31.55</v>
      </c>
      <c r="E14" s="230">
        <v>34.18</v>
      </c>
      <c r="F14" s="230">
        <v>49.88</v>
      </c>
      <c r="G14" s="230">
        <v>54.45</v>
      </c>
      <c r="H14" s="230">
        <v>55.23</v>
      </c>
      <c r="I14" s="100">
        <f t="shared" si="0"/>
        <v>1.4325068870523205E-2</v>
      </c>
      <c r="J14" s="230">
        <f t="shared" si="1"/>
        <v>0.77999999999999403</v>
      </c>
      <c r="K14" s="231">
        <v>6.44</v>
      </c>
      <c r="L14" s="231">
        <v>37.07</v>
      </c>
      <c r="M14" s="231">
        <v>38.28</v>
      </c>
      <c r="N14" s="231">
        <v>38.78</v>
      </c>
      <c r="O14" s="231">
        <v>48.53</v>
      </c>
      <c r="P14" s="100">
        <f t="shared" si="2"/>
        <v>0.25141825683341934</v>
      </c>
      <c r="Q14" s="230">
        <f t="shared" si="3"/>
        <v>9.75</v>
      </c>
    </row>
    <row r="15" spans="2:17" x14ac:dyDescent="0.25">
      <c r="B15" s="96" t="s">
        <v>65</v>
      </c>
      <c r="C15" s="228">
        <v>58.49</v>
      </c>
      <c r="D15" s="228">
        <v>40.36</v>
      </c>
      <c r="E15" s="228">
        <v>37.26</v>
      </c>
      <c r="F15" s="228">
        <v>61.52</v>
      </c>
      <c r="G15" s="228">
        <v>67.89</v>
      </c>
      <c r="H15" s="228">
        <v>72.16</v>
      </c>
      <c r="I15" s="98">
        <f t="shared" si="0"/>
        <v>6.2895860951539095E-2</v>
      </c>
      <c r="J15" s="228">
        <f t="shared" si="1"/>
        <v>4.269999999999996</v>
      </c>
      <c r="K15" s="229">
        <v>23.44</v>
      </c>
      <c r="L15" s="229">
        <v>51.3</v>
      </c>
      <c r="M15" s="229">
        <v>53.56</v>
      </c>
      <c r="N15" s="229">
        <v>54.13</v>
      </c>
      <c r="O15" s="229">
        <v>59.67</v>
      </c>
      <c r="P15" s="98">
        <f t="shared" si="2"/>
        <v>0.1023462035839644</v>
      </c>
      <c r="Q15" s="228">
        <f t="shared" si="3"/>
        <v>5.5399999999999991</v>
      </c>
    </row>
    <row r="16" spans="2:17" x14ac:dyDescent="0.25">
      <c r="B16" s="93" t="s">
        <v>53</v>
      </c>
      <c r="C16" s="232">
        <v>43.26</v>
      </c>
      <c r="D16" s="232">
        <v>33.54</v>
      </c>
      <c r="E16" s="232">
        <v>37.840000000000003</v>
      </c>
      <c r="F16" s="232">
        <v>53.16</v>
      </c>
      <c r="G16" s="232">
        <v>62.05</v>
      </c>
      <c r="H16" s="232">
        <v>69.75</v>
      </c>
      <c r="I16" s="102">
        <f t="shared" si="0"/>
        <v>0.12409347300564066</v>
      </c>
      <c r="J16" s="232">
        <f t="shared" si="1"/>
        <v>7.7000000000000028</v>
      </c>
      <c r="K16" s="233">
        <v>30.69</v>
      </c>
      <c r="L16" s="233">
        <v>49.26</v>
      </c>
      <c r="M16" s="233">
        <v>47.49</v>
      </c>
      <c r="N16" s="233">
        <v>55.64</v>
      </c>
      <c r="O16" s="233">
        <v>58.22</v>
      </c>
      <c r="P16" s="102">
        <f t="shared" si="2"/>
        <v>4.6369518332135096E-2</v>
      </c>
      <c r="Q16" s="232">
        <f t="shared" si="3"/>
        <v>2.5799999999999983</v>
      </c>
    </row>
    <row r="17" spans="2:17" x14ac:dyDescent="0.25">
      <c r="B17" s="96" t="s">
        <v>62</v>
      </c>
      <c r="C17" s="228">
        <v>43.26</v>
      </c>
      <c r="D17" s="228">
        <v>33.54</v>
      </c>
      <c r="E17" s="228">
        <v>37.840000000000003</v>
      </c>
      <c r="F17" s="228">
        <v>53.16</v>
      </c>
      <c r="G17" s="228">
        <v>62.05</v>
      </c>
      <c r="H17" s="228">
        <v>69.75</v>
      </c>
      <c r="I17" s="98">
        <f t="shared" si="0"/>
        <v>0.12409347300564066</v>
      </c>
      <c r="J17" s="228">
        <f t="shared" si="1"/>
        <v>7.7000000000000028</v>
      </c>
      <c r="K17" s="229">
        <v>30.69</v>
      </c>
      <c r="L17" s="229">
        <v>49.26</v>
      </c>
      <c r="M17" s="229">
        <v>47.49</v>
      </c>
      <c r="N17" s="229">
        <v>55.64</v>
      </c>
      <c r="O17" s="229">
        <v>58.22</v>
      </c>
      <c r="P17" s="98">
        <f t="shared" si="2"/>
        <v>4.6369518332135096E-2</v>
      </c>
      <c r="Q17" s="228">
        <f t="shared" si="3"/>
        <v>2.5799999999999983</v>
      </c>
    </row>
    <row r="18" spans="2:17" x14ac:dyDescent="0.25">
      <c r="B18" s="99" t="s">
        <v>63</v>
      </c>
      <c r="C18" s="230">
        <v>56.68</v>
      </c>
      <c r="D18" s="230">
        <v>39.090000000000003</v>
      </c>
      <c r="E18" s="230">
        <v>40.1</v>
      </c>
      <c r="F18" s="230">
        <v>62.85</v>
      </c>
      <c r="G18" s="230">
        <v>73.61</v>
      </c>
      <c r="H18" s="230">
        <v>84.16</v>
      </c>
      <c r="I18" s="100">
        <f t="shared" si="0"/>
        <v>0.14332291808178232</v>
      </c>
      <c r="J18" s="230">
        <f t="shared" si="1"/>
        <v>10.549999999999997</v>
      </c>
      <c r="K18" s="231">
        <v>30.02</v>
      </c>
      <c r="L18" s="231">
        <v>57.95</v>
      </c>
      <c r="M18" s="231">
        <v>54.34</v>
      </c>
      <c r="N18" s="231">
        <v>66.349999999999994</v>
      </c>
      <c r="O18" s="231">
        <v>68.38</v>
      </c>
      <c r="P18" s="100">
        <f t="shared" si="2"/>
        <v>3.0595327807083628E-2</v>
      </c>
      <c r="Q18" s="230">
        <f t="shared" si="3"/>
        <v>2.0300000000000011</v>
      </c>
    </row>
    <row r="19" spans="2:17" x14ac:dyDescent="0.25">
      <c r="B19" s="99" t="s">
        <v>64</v>
      </c>
      <c r="C19" s="230">
        <v>31.7</v>
      </c>
      <c r="D19" s="230">
        <v>27.82</v>
      </c>
      <c r="E19" s="230">
        <v>34.1</v>
      </c>
      <c r="F19" s="230">
        <v>40.229999999999997</v>
      </c>
      <c r="G19" s="230">
        <v>47.48</v>
      </c>
      <c r="H19" s="230">
        <v>49.35</v>
      </c>
      <c r="I19" s="100">
        <f t="shared" si="0"/>
        <v>3.9385004212300068E-2</v>
      </c>
      <c r="J19" s="230">
        <f t="shared" si="1"/>
        <v>1.8700000000000045</v>
      </c>
      <c r="K19" s="231">
        <v>31.95</v>
      </c>
      <c r="L19" s="231">
        <v>37.76</v>
      </c>
      <c r="M19" s="231">
        <v>38.54</v>
      </c>
      <c r="N19" s="231">
        <v>41.9</v>
      </c>
      <c r="O19" s="231">
        <v>39.71</v>
      </c>
      <c r="P19" s="100">
        <f t="shared" si="2"/>
        <v>-5.2267303102625284E-2</v>
      </c>
      <c r="Q19" s="230">
        <f t="shared" si="3"/>
        <v>-2.1899999999999977</v>
      </c>
    </row>
    <row r="20" spans="2:17" x14ac:dyDescent="0.25">
      <c r="B20" s="96" t="s">
        <v>65</v>
      </c>
      <c r="C20" s="228">
        <v>0</v>
      </c>
      <c r="D20" s="228">
        <v>0</v>
      </c>
      <c r="E20" s="228">
        <v>0</v>
      </c>
      <c r="F20" s="228">
        <v>0</v>
      </c>
      <c r="G20" s="228">
        <v>0</v>
      </c>
      <c r="H20" s="228">
        <v>0</v>
      </c>
      <c r="I20" s="98" t="str">
        <f t="shared" si="0"/>
        <v>-</v>
      </c>
      <c r="J20" s="228">
        <f t="shared" si="1"/>
        <v>0</v>
      </c>
      <c r="K20" s="229" t="s">
        <v>229</v>
      </c>
      <c r="L20" s="229" t="s">
        <v>229</v>
      </c>
      <c r="M20" s="229" t="s">
        <v>229</v>
      </c>
      <c r="N20" s="229" t="s">
        <v>229</v>
      </c>
      <c r="O20" s="229" t="s">
        <v>229</v>
      </c>
      <c r="P20" s="98" t="str">
        <f t="shared" si="2"/>
        <v>-</v>
      </c>
      <c r="Q20" s="228" t="str">
        <f t="shared" si="3"/>
        <v>-</v>
      </c>
    </row>
    <row r="21" spans="2:17" x14ac:dyDescent="0.25">
      <c r="B21" s="93" t="s">
        <v>48</v>
      </c>
      <c r="C21" s="232">
        <v>47.78</v>
      </c>
      <c r="D21" s="232">
        <v>38.090000000000003</v>
      </c>
      <c r="E21" s="232">
        <v>36.92</v>
      </c>
      <c r="F21" s="232">
        <v>53.92</v>
      </c>
      <c r="G21" s="232">
        <v>54.7</v>
      </c>
      <c r="H21" s="232">
        <v>64.64</v>
      </c>
      <c r="I21" s="102">
        <f t="shared" si="0"/>
        <v>0.18171846435100547</v>
      </c>
      <c r="J21" s="232">
        <f t="shared" si="1"/>
        <v>9.9399999999999977</v>
      </c>
      <c r="K21" s="233">
        <v>20.21</v>
      </c>
      <c r="L21" s="233">
        <v>42.36</v>
      </c>
      <c r="M21" s="233">
        <v>34.99</v>
      </c>
      <c r="N21" s="233">
        <v>41.32</v>
      </c>
      <c r="O21" s="233">
        <v>51.65</v>
      </c>
      <c r="P21" s="102">
        <f t="shared" si="2"/>
        <v>0.25</v>
      </c>
      <c r="Q21" s="232">
        <f t="shared" si="3"/>
        <v>10.329999999999998</v>
      </c>
    </row>
    <row r="22" spans="2:17" x14ac:dyDescent="0.25">
      <c r="B22" s="96" t="s">
        <v>62</v>
      </c>
      <c r="C22" s="228">
        <v>47.3</v>
      </c>
      <c r="D22" s="228">
        <v>35.92</v>
      </c>
      <c r="E22" s="228">
        <v>36.92</v>
      </c>
      <c r="F22" s="228">
        <v>53.99</v>
      </c>
      <c r="G22" s="228">
        <v>54.87</v>
      </c>
      <c r="H22" s="228">
        <v>64.8</v>
      </c>
      <c r="I22" s="98">
        <f t="shared" si="0"/>
        <v>0.18097320940404593</v>
      </c>
      <c r="J22" s="228">
        <f t="shared" si="1"/>
        <v>9.93</v>
      </c>
      <c r="K22" s="229">
        <v>20.21</v>
      </c>
      <c r="L22" s="229">
        <v>42.36</v>
      </c>
      <c r="M22" s="229">
        <v>34.99</v>
      </c>
      <c r="N22" s="229">
        <v>41.68</v>
      </c>
      <c r="O22" s="229">
        <v>52.49</v>
      </c>
      <c r="P22" s="98">
        <f t="shared" si="2"/>
        <v>0.25935700575815734</v>
      </c>
      <c r="Q22" s="228">
        <f t="shared" si="3"/>
        <v>10.810000000000002</v>
      </c>
    </row>
    <row r="23" spans="2:17" x14ac:dyDescent="0.25">
      <c r="B23" s="96" t="s">
        <v>65</v>
      </c>
      <c r="C23" s="228">
        <v>51.12</v>
      </c>
      <c r="D23" s="228">
        <v>63.88</v>
      </c>
      <c r="E23" s="228">
        <v>0</v>
      </c>
      <c r="F23" s="228">
        <v>0</v>
      </c>
      <c r="G23" s="228">
        <v>0</v>
      </c>
      <c r="H23" s="228">
        <v>0</v>
      </c>
      <c r="I23" s="98" t="str">
        <f t="shared" si="0"/>
        <v>-</v>
      </c>
      <c r="J23" s="228">
        <f t="shared" si="1"/>
        <v>0</v>
      </c>
      <c r="K23" s="229">
        <v>0</v>
      </c>
      <c r="L23" s="229">
        <v>0</v>
      </c>
      <c r="M23" s="229">
        <v>0</v>
      </c>
      <c r="N23" s="229">
        <v>0</v>
      </c>
      <c r="O23" s="229">
        <v>0</v>
      </c>
      <c r="P23" s="98" t="str">
        <f t="shared" si="2"/>
        <v>-</v>
      </c>
      <c r="Q23" s="228">
        <f t="shared" si="3"/>
        <v>0</v>
      </c>
    </row>
    <row r="24" spans="2:17" x14ac:dyDescent="0.25">
      <c r="B24" s="93" t="s">
        <v>49</v>
      </c>
      <c r="C24" s="232">
        <v>107</v>
      </c>
      <c r="D24" s="232">
        <v>44.86</v>
      </c>
      <c r="E24" s="232">
        <v>46.13</v>
      </c>
      <c r="F24" s="232">
        <v>94.79</v>
      </c>
      <c r="G24" s="232">
        <v>114.31</v>
      </c>
      <c r="H24" s="232">
        <v>127.83</v>
      </c>
      <c r="I24" s="102">
        <f t="shared" si="0"/>
        <v>0.11827486659084951</v>
      </c>
      <c r="J24" s="232">
        <f t="shared" si="1"/>
        <v>13.519999999999996</v>
      </c>
      <c r="K24" s="233">
        <v>17.010000000000002</v>
      </c>
      <c r="L24" s="233">
        <v>98.01</v>
      </c>
      <c r="M24" s="233">
        <v>109.27</v>
      </c>
      <c r="N24" s="233">
        <v>69.959999999999994</v>
      </c>
      <c r="O24" s="233">
        <v>116.22</v>
      </c>
      <c r="P24" s="102">
        <f t="shared" si="2"/>
        <v>0.66123499142367081</v>
      </c>
      <c r="Q24" s="232">
        <f t="shared" si="3"/>
        <v>46.260000000000005</v>
      </c>
    </row>
    <row r="25" spans="2:17" x14ac:dyDescent="0.25">
      <c r="B25" s="96" t="s">
        <v>62</v>
      </c>
      <c r="C25" s="228">
        <v>107.84</v>
      </c>
      <c r="D25" s="228">
        <v>55.84</v>
      </c>
      <c r="E25" s="228">
        <v>48.11</v>
      </c>
      <c r="F25" s="228">
        <v>95.49</v>
      </c>
      <c r="G25" s="228">
        <v>114.77</v>
      </c>
      <c r="H25" s="228">
        <v>128.08000000000001</v>
      </c>
      <c r="I25" s="98">
        <f t="shared" si="0"/>
        <v>0.11597107257994255</v>
      </c>
      <c r="J25" s="228">
        <f t="shared" si="1"/>
        <v>13.310000000000016</v>
      </c>
      <c r="K25" s="229">
        <v>17.64</v>
      </c>
      <c r="L25" s="229">
        <v>104.15</v>
      </c>
      <c r="M25" s="229">
        <v>114.99</v>
      </c>
      <c r="N25" s="229">
        <v>69.959999999999994</v>
      </c>
      <c r="O25" s="229">
        <v>116.73</v>
      </c>
      <c r="P25" s="98">
        <f t="shared" si="2"/>
        <v>0.66852487135506022</v>
      </c>
      <c r="Q25" s="228">
        <f t="shared" si="3"/>
        <v>46.77000000000001</v>
      </c>
    </row>
    <row r="26" spans="2:17" x14ac:dyDescent="0.25">
      <c r="B26" s="99" t="s">
        <v>63</v>
      </c>
      <c r="C26" s="230">
        <v>117.01</v>
      </c>
      <c r="D26" s="230">
        <v>0</v>
      </c>
      <c r="E26" s="230">
        <v>0</v>
      </c>
      <c r="F26" s="230">
        <v>0</v>
      </c>
      <c r="G26" s="230">
        <v>0</v>
      </c>
      <c r="H26" s="230">
        <v>0</v>
      </c>
      <c r="I26" s="100" t="str">
        <f t="shared" si="0"/>
        <v>-</v>
      </c>
      <c r="J26" s="230">
        <f t="shared" si="1"/>
        <v>0</v>
      </c>
      <c r="K26" s="231">
        <v>17.64</v>
      </c>
      <c r="L26" s="231">
        <v>0</v>
      </c>
      <c r="M26" s="231">
        <v>114.99</v>
      </c>
      <c r="N26" s="231">
        <v>0</v>
      </c>
      <c r="O26" s="231">
        <v>0</v>
      </c>
      <c r="P26" s="100" t="str">
        <f t="shared" si="2"/>
        <v>-</v>
      </c>
      <c r="Q26" s="230">
        <f t="shared" si="3"/>
        <v>0</v>
      </c>
    </row>
    <row r="27" spans="2:17" x14ac:dyDescent="0.25">
      <c r="B27" s="99" t="s">
        <v>64</v>
      </c>
      <c r="C27" s="230">
        <v>30.06</v>
      </c>
      <c r="D27" s="230">
        <v>0</v>
      </c>
      <c r="E27" s="230">
        <v>0</v>
      </c>
      <c r="F27" s="230">
        <v>0</v>
      </c>
      <c r="G27" s="230">
        <v>0</v>
      </c>
      <c r="H27" s="230">
        <v>0</v>
      </c>
      <c r="I27" s="100" t="str">
        <f t="shared" si="0"/>
        <v>-</v>
      </c>
      <c r="J27" s="230">
        <f t="shared" si="1"/>
        <v>0</v>
      </c>
      <c r="K27" s="231">
        <v>0</v>
      </c>
      <c r="L27" s="231">
        <v>0</v>
      </c>
      <c r="M27" s="231">
        <v>0</v>
      </c>
      <c r="N27" s="231">
        <v>0</v>
      </c>
      <c r="O27" s="231">
        <v>0</v>
      </c>
      <c r="P27" s="100" t="str">
        <f t="shared" si="2"/>
        <v>-</v>
      </c>
      <c r="Q27" s="230">
        <f t="shared" si="3"/>
        <v>0</v>
      </c>
    </row>
    <row r="28" spans="2:17" x14ac:dyDescent="0.25">
      <c r="B28" s="93" t="s">
        <v>50</v>
      </c>
      <c r="C28" s="232">
        <v>41.28</v>
      </c>
      <c r="D28" s="232">
        <v>28.76</v>
      </c>
      <c r="E28" s="232">
        <v>28.24</v>
      </c>
      <c r="F28" s="232">
        <v>42.01</v>
      </c>
      <c r="G28" s="232">
        <v>51.99</v>
      </c>
      <c r="H28" s="232">
        <v>61.31</v>
      </c>
      <c r="I28" s="102">
        <f t="shared" si="0"/>
        <v>0.17926524331602223</v>
      </c>
      <c r="J28" s="232">
        <f t="shared" si="1"/>
        <v>9.32</v>
      </c>
      <c r="K28" s="233">
        <v>15.57</v>
      </c>
      <c r="L28" s="233">
        <v>34.96</v>
      </c>
      <c r="M28" s="233">
        <v>40.57</v>
      </c>
      <c r="N28" s="233">
        <v>48.53</v>
      </c>
      <c r="O28" s="233">
        <v>54.3</v>
      </c>
      <c r="P28" s="102">
        <f t="shared" si="2"/>
        <v>0.11889552853904783</v>
      </c>
      <c r="Q28" s="232">
        <f t="shared" si="3"/>
        <v>5.769999999999996</v>
      </c>
    </row>
    <row r="29" spans="2:17" x14ac:dyDescent="0.25">
      <c r="B29" s="96" t="s">
        <v>62</v>
      </c>
      <c r="C29" s="228">
        <v>43.36</v>
      </c>
      <c r="D29" s="228">
        <v>30.7</v>
      </c>
      <c r="E29" s="228">
        <v>30.01</v>
      </c>
      <c r="F29" s="228">
        <v>44.97</v>
      </c>
      <c r="G29" s="228">
        <v>55.89</v>
      </c>
      <c r="H29" s="228">
        <v>65.510000000000005</v>
      </c>
      <c r="I29" s="98">
        <f t="shared" si="0"/>
        <v>0.1721238146358921</v>
      </c>
      <c r="J29" s="228">
        <f t="shared" si="1"/>
        <v>9.6200000000000045</v>
      </c>
      <c r="K29" s="229">
        <v>15.74</v>
      </c>
      <c r="L29" s="229">
        <v>38.04</v>
      </c>
      <c r="M29" s="229">
        <v>44.56</v>
      </c>
      <c r="N29" s="229">
        <v>52.51</v>
      </c>
      <c r="O29" s="229">
        <v>58.48</v>
      </c>
      <c r="P29" s="98">
        <f t="shared" si="2"/>
        <v>0.11369262997524276</v>
      </c>
      <c r="Q29" s="228">
        <f t="shared" si="3"/>
        <v>5.9699999999999989</v>
      </c>
    </row>
    <row r="30" spans="2:17" x14ac:dyDescent="0.25">
      <c r="B30" s="99" t="s">
        <v>63</v>
      </c>
      <c r="C30" s="230">
        <v>46.92</v>
      </c>
      <c r="D30" s="230">
        <v>32.35</v>
      </c>
      <c r="E30" s="230">
        <v>31.51</v>
      </c>
      <c r="F30" s="230">
        <v>47.15</v>
      </c>
      <c r="G30" s="230">
        <v>58.46</v>
      </c>
      <c r="H30" s="230">
        <v>68.099999999999994</v>
      </c>
      <c r="I30" s="100">
        <f t="shared" si="0"/>
        <v>0.16489907629148126</v>
      </c>
      <c r="J30" s="230">
        <f t="shared" si="1"/>
        <v>9.6399999999999935</v>
      </c>
      <c r="K30" s="231">
        <v>15.72</v>
      </c>
      <c r="L30" s="231">
        <v>40.26</v>
      </c>
      <c r="M30" s="231">
        <v>46.98</v>
      </c>
      <c r="N30" s="231">
        <v>54.79</v>
      </c>
      <c r="O30" s="231">
        <v>61.65</v>
      </c>
      <c r="P30" s="100">
        <f t="shared" si="2"/>
        <v>0.12520532943967866</v>
      </c>
      <c r="Q30" s="230">
        <f t="shared" si="3"/>
        <v>6.8599999999999994</v>
      </c>
    </row>
    <row r="31" spans="2:17" x14ac:dyDescent="0.25">
      <c r="B31" s="99" t="s">
        <v>64</v>
      </c>
      <c r="C31" s="230">
        <v>28.87</v>
      </c>
      <c r="D31" s="230">
        <v>22.76</v>
      </c>
      <c r="E31" s="230">
        <v>23.58</v>
      </c>
      <c r="F31" s="230">
        <v>31.76</v>
      </c>
      <c r="G31" s="230">
        <v>39.42</v>
      </c>
      <c r="H31" s="230">
        <v>48.3</v>
      </c>
      <c r="I31" s="100">
        <f t="shared" si="0"/>
        <v>0.22526636225266339</v>
      </c>
      <c r="J31" s="230">
        <f t="shared" si="1"/>
        <v>8.8799999999999955</v>
      </c>
      <c r="K31" s="231">
        <v>15.85</v>
      </c>
      <c r="L31" s="231">
        <v>23.07</v>
      </c>
      <c r="M31" s="231">
        <v>29.89</v>
      </c>
      <c r="N31" s="231">
        <v>37.17</v>
      </c>
      <c r="O31" s="231">
        <v>38.270000000000003</v>
      </c>
      <c r="P31" s="100">
        <f t="shared" si="2"/>
        <v>2.9593758407317816E-2</v>
      </c>
      <c r="Q31" s="230">
        <f t="shared" si="3"/>
        <v>1.1000000000000014</v>
      </c>
    </row>
    <row r="32" spans="2:17" x14ac:dyDescent="0.25">
      <c r="B32" s="96" t="s">
        <v>65</v>
      </c>
      <c r="C32" s="228">
        <v>33.409999999999997</v>
      </c>
      <c r="D32" s="228">
        <v>23.06</v>
      </c>
      <c r="E32" s="228">
        <v>22.18</v>
      </c>
      <c r="F32" s="228">
        <v>30.16</v>
      </c>
      <c r="G32" s="228">
        <v>36.21</v>
      </c>
      <c r="H32" s="228">
        <v>43.56</v>
      </c>
      <c r="I32" s="98">
        <f t="shared" si="0"/>
        <v>0.20298260149130076</v>
      </c>
      <c r="J32" s="228">
        <f t="shared" si="1"/>
        <v>7.3500000000000014</v>
      </c>
      <c r="K32" s="229">
        <v>15.07</v>
      </c>
      <c r="L32" s="229">
        <v>22.05</v>
      </c>
      <c r="M32" s="229">
        <v>24.99</v>
      </c>
      <c r="N32" s="229">
        <v>31.59</v>
      </c>
      <c r="O32" s="229">
        <v>37.270000000000003</v>
      </c>
      <c r="P32" s="98">
        <f t="shared" si="2"/>
        <v>0.17980373535929095</v>
      </c>
      <c r="Q32" s="228">
        <f t="shared" si="3"/>
        <v>5.6800000000000033</v>
      </c>
    </row>
    <row r="33" spans="2:17" x14ac:dyDescent="0.25">
      <c r="B33" s="93" t="s">
        <v>51</v>
      </c>
      <c r="C33" s="232">
        <v>51.62</v>
      </c>
      <c r="D33" s="232">
        <v>49.1</v>
      </c>
      <c r="E33" s="232">
        <v>45.63</v>
      </c>
      <c r="F33" s="232">
        <v>64.64</v>
      </c>
      <c r="G33" s="232">
        <v>73.62</v>
      </c>
      <c r="H33" s="232">
        <v>81.849999999999994</v>
      </c>
      <c r="I33" s="102">
        <f t="shared" si="0"/>
        <v>0.11179027438196121</v>
      </c>
      <c r="J33" s="232">
        <f t="shared" si="1"/>
        <v>8.2299999999999898</v>
      </c>
      <c r="K33" s="233">
        <v>39.54</v>
      </c>
      <c r="L33" s="233">
        <v>48.82</v>
      </c>
      <c r="M33" s="233">
        <v>53.04</v>
      </c>
      <c r="N33" s="233">
        <v>62.53</v>
      </c>
      <c r="O33" s="233">
        <v>69.05</v>
      </c>
      <c r="P33" s="102">
        <f t="shared" si="2"/>
        <v>0.1042699504237965</v>
      </c>
      <c r="Q33" s="232">
        <f t="shared" si="3"/>
        <v>6.519999999999996</v>
      </c>
    </row>
    <row r="34" spans="2:17" x14ac:dyDescent="0.25">
      <c r="B34" s="96" t="s">
        <v>62</v>
      </c>
      <c r="C34" s="228">
        <v>51.62</v>
      </c>
      <c r="D34" s="228">
        <v>49.1</v>
      </c>
      <c r="E34" s="228">
        <v>45.63</v>
      </c>
      <c r="F34" s="228">
        <v>64.64</v>
      </c>
      <c r="G34" s="228">
        <v>73.62</v>
      </c>
      <c r="H34" s="228">
        <v>81.849999999999994</v>
      </c>
      <c r="I34" s="98">
        <f t="shared" si="0"/>
        <v>0.11179027438196121</v>
      </c>
      <c r="J34" s="228">
        <f t="shared" si="1"/>
        <v>8.2299999999999898</v>
      </c>
      <c r="K34" s="229">
        <v>39.54</v>
      </c>
      <c r="L34" s="229">
        <v>48.82</v>
      </c>
      <c r="M34" s="229">
        <v>53.04</v>
      </c>
      <c r="N34" s="229">
        <v>62.53</v>
      </c>
      <c r="O34" s="229">
        <v>69.05</v>
      </c>
      <c r="P34" s="98">
        <f t="shared" si="2"/>
        <v>0.1042699504237965</v>
      </c>
      <c r="Q34" s="228">
        <f t="shared" si="3"/>
        <v>6.519999999999996</v>
      </c>
    </row>
    <row r="35" spans="2:17" x14ac:dyDescent="0.25">
      <c r="B35" s="93" t="s">
        <v>52</v>
      </c>
      <c r="C35" s="232">
        <v>67.78</v>
      </c>
      <c r="D35" s="232">
        <v>64.31</v>
      </c>
      <c r="E35" s="232">
        <v>82.55</v>
      </c>
      <c r="F35" s="232">
        <v>96.71</v>
      </c>
      <c r="G35" s="232">
        <v>122.12</v>
      </c>
      <c r="H35" s="232">
        <v>143.97</v>
      </c>
      <c r="I35" s="102">
        <f t="shared" si="0"/>
        <v>0.17892237143792977</v>
      </c>
      <c r="J35" s="232">
        <f t="shared" si="1"/>
        <v>21.849999999999994</v>
      </c>
      <c r="K35" s="233">
        <v>84.99</v>
      </c>
      <c r="L35" s="233">
        <v>77.760000000000005</v>
      </c>
      <c r="M35" s="233">
        <v>108.27</v>
      </c>
      <c r="N35" s="233">
        <v>125.61</v>
      </c>
      <c r="O35" s="233">
        <v>143.46</v>
      </c>
      <c r="P35" s="102">
        <f t="shared" si="2"/>
        <v>0.14210652018151437</v>
      </c>
      <c r="Q35" s="232">
        <f t="shared" si="3"/>
        <v>17.850000000000009</v>
      </c>
    </row>
    <row r="36" spans="2:17" x14ac:dyDescent="0.25">
      <c r="B36" s="96" t="s">
        <v>62</v>
      </c>
      <c r="C36" s="228">
        <v>88.08</v>
      </c>
      <c r="D36" s="228">
        <v>75.77</v>
      </c>
      <c r="E36" s="228">
        <v>86.58</v>
      </c>
      <c r="F36" s="228">
        <v>103.27</v>
      </c>
      <c r="G36" s="228">
        <v>127.65</v>
      </c>
      <c r="H36" s="228">
        <v>152.83000000000001</v>
      </c>
      <c r="I36" s="98">
        <f t="shared" si="0"/>
        <v>0.1972581276929104</v>
      </c>
      <c r="J36" s="228">
        <f t="shared" si="1"/>
        <v>25.180000000000007</v>
      </c>
      <c r="K36" s="229">
        <v>90.54</v>
      </c>
      <c r="L36" s="229">
        <v>86.43</v>
      </c>
      <c r="M36" s="229">
        <v>113.11</v>
      </c>
      <c r="N36" s="229">
        <v>126.99</v>
      </c>
      <c r="O36" s="229">
        <v>151.96</v>
      </c>
      <c r="P36" s="98">
        <f t="shared" si="2"/>
        <v>0.19662965587841574</v>
      </c>
      <c r="Q36" s="228">
        <f t="shared" si="3"/>
        <v>24.970000000000013</v>
      </c>
    </row>
    <row r="37" spans="2:17" x14ac:dyDescent="0.25">
      <c r="B37" s="96" t="s">
        <v>65</v>
      </c>
      <c r="C37" s="228">
        <v>45.47</v>
      </c>
      <c r="D37" s="228">
        <v>30.29</v>
      </c>
      <c r="E37" s="228">
        <v>48.86</v>
      </c>
      <c r="F37" s="228">
        <v>61.39</v>
      </c>
      <c r="G37" s="228">
        <v>90.45</v>
      </c>
      <c r="H37" s="228">
        <v>93.94</v>
      </c>
      <c r="I37" s="98">
        <f t="shared" si="0"/>
        <v>3.8584853510226669E-2</v>
      </c>
      <c r="J37" s="228">
        <f t="shared" si="1"/>
        <v>3.4899999999999949</v>
      </c>
      <c r="K37" s="229">
        <v>9.3800000000000008</v>
      </c>
      <c r="L37" s="229">
        <v>37.409999999999997</v>
      </c>
      <c r="M37" s="229">
        <v>80.63</v>
      </c>
      <c r="N37" s="229">
        <v>117.82</v>
      </c>
      <c r="O37" s="229">
        <v>98.83</v>
      </c>
      <c r="P37" s="98">
        <f t="shared" si="2"/>
        <v>-0.16117806823968761</v>
      </c>
      <c r="Q37" s="228">
        <f t="shared" si="3"/>
        <v>-18.989999999999995</v>
      </c>
    </row>
    <row r="38" spans="2:17" x14ac:dyDescent="0.25">
      <c r="B38" s="93" t="s">
        <v>53</v>
      </c>
      <c r="C38" s="232">
        <v>43.26</v>
      </c>
      <c r="D38" s="232">
        <v>33.54</v>
      </c>
      <c r="E38" s="232">
        <v>37.840000000000003</v>
      </c>
      <c r="F38" s="232">
        <v>53.16</v>
      </c>
      <c r="G38" s="232">
        <v>62.05</v>
      </c>
      <c r="H38" s="232">
        <v>69.75</v>
      </c>
      <c r="I38" s="102">
        <f t="shared" si="0"/>
        <v>0.12409347300564066</v>
      </c>
      <c r="J38" s="232">
        <f t="shared" si="1"/>
        <v>7.7000000000000028</v>
      </c>
      <c r="K38" s="233">
        <v>30.69</v>
      </c>
      <c r="L38" s="233">
        <v>49.26</v>
      </c>
      <c r="M38" s="233">
        <v>47.49</v>
      </c>
      <c r="N38" s="233">
        <v>55.64</v>
      </c>
      <c r="O38" s="233">
        <v>58.22</v>
      </c>
      <c r="P38" s="102">
        <f t="shared" si="2"/>
        <v>4.6369518332135096E-2</v>
      </c>
      <c r="Q38" s="232">
        <f t="shared" si="3"/>
        <v>2.5799999999999983</v>
      </c>
    </row>
    <row r="39" spans="2:17" x14ac:dyDescent="0.25">
      <c r="B39" s="96" t="s">
        <v>62</v>
      </c>
      <c r="C39" s="228">
        <v>43.26</v>
      </c>
      <c r="D39" s="228">
        <v>33.54</v>
      </c>
      <c r="E39" s="228">
        <v>37.840000000000003</v>
      </c>
      <c r="F39" s="228">
        <v>53.16</v>
      </c>
      <c r="G39" s="228">
        <v>62.05</v>
      </c>
      <c r="H39" s="228">
        <v>69.75</v>
      </c>
      <c r="I39" s="98">
        <f t="shared" si="0"/>
        <v>0.12409347300564066</v>
      </c>
      <c r="J39" s="228">
        <f t="shared" si="1"/>
        <v>7.7000000000000028</v>
      </c>
      <c r="K39" s="229">
        <v>30.69</v>
      </c>
      <c r="L39" s="229">
        <v>49.26</v>
      </c>
      <c r="M39" s="229">
        <v>47.49</v>
      </c>
      <c r="N39" s="229">
        <v>55.64</v>
      </c>
      <c r="O39" s="229">
        <v>58.22</v>
      </c>
      <c r="P39" s="98">
        <f t="shared" si="2"/>
        <v>4.6369518332135096E-2</v>
      </c>
      <c r="Q39" s="228">
        <f t="shared" si="3"/>
        <v>2.5799999999999983</v>
      </c>
    </row>
    <row r="40" spans="2:17" x14ac:dyDescent="0.25">
      <c r="B40" s="99" t="s">
        <v>63</v>
      </c>
      <c r="C40" s="230">
        <v>56.68</v>
      </c>
      <c r="D40" s="230">
        <v>39.090000000000003</v>
      </c>
      <c r="E40" s="230">
        <v>40.1</v>
      </c>
      <c r="F40" s="230">
        <v>62.85</v>
      </c>
      <c r="G40" s="230">
        <v>73.61</v>
      </c>
      <c r="H40" s="230">
        <v>84.16</v>
      </c>
      <c r="I40" s="100">
        <f t="shared" si="0"/>
        <v>0.14332291808178232</v>
      </c>
      <c r="J40" s="230">
        <f t="shared" si="1"/>
        <v>10.549999999999997</v>
      </c>
      <c r="K40" s="231">
        <v>30.02</v>
      </c>
      <c r="L40" s="231">
        <v>57.95</v>
      </c>
      <c r="M40" s="231">
        <v>54.34</v>
      </c>
      <c r="N40" s="231">
        <v>66.349999999999994</v>
      </c>
      <c r="O40" s="231">
        <v>68.38</v>
      </c>
      <c r="P40" s="100">
        <f t="shared" si="2"/>
        <v>3.0595327807083628E-2</v>
      </c>
      <c r="Q40" s="230">
        <f t="shared" si="3"/>
        <v>2.0300000000000011</v>
      </c>
    </row>
    <row r="41" spans="2:17" x14ac:dyDescent="0.25">
      <c r="B41" s="99" t="s">
        <v>64</v>
      </c>
      <c r="C41" s="230">
        <v>31.7</v>
      </c>
      <c r="D41" s="230">
        <v>27.82</v>
      </c>
      <c r="E41" s="230">
        <v>34.1</v>
      </c>
      <c r="F41" s="230">
        <v>40.229999999999997</v>
      </c>
      <c r="G41" s="230">
        <v>47.48</v>
      </c>
      <c r="H41" s="230">
        <v>49.35</v>
      </c>
      <c r="I41" s="100">
        <f t="shared" si="0"/>
        <v>3.9385004212300068E-2</v>
      </c>
      <c r="J41" s="230">
        <f t="shared" si="1"/>
        <v>1.8700000000000045</v>
      </c>
      <c r="K41" s="231">
        <v>31.95</v>
      </c>
      <c r="L41" s="231">
        <v>37.76</v>
      </c>
      <c r="M41" s="231">
        <v>38.54</v>
      </c>
      <c r="N41" s="231">
        <v>41.9</v>
      </c>
      <c r="O41" s="231">
        <v>39.71</v>
      </c>
      <c r="P41" s="100">
        <f t="shared" si="2"/>
        <v>-5.2267303102625284E-2</v>
      </c>
      <c r="Q41" s="230">
        <f t="shared" si="3"/>
        <v>-2.1899999999999977</v>
      </c>
    </row>
    <row r="42" spans="2:17" x14ac:dyDescent="0.25">
      <c r="B42" s="93" t="s">
        <v>54</v>
      </c>
      <c r="C42" s="232">
        <v>71.48</v>
      </c>
      <c r="D42" s="232">
        <v>50.94</v>
      </c>
      <c r="E42" s="232">
        <v>53.72</v>
      </c>
      <c r="F42" s="232">
        <v>88.72</v>
      </c>
      <c r="G42" s="232">
        <v>108.87</v>
      </c>
      <c r="H42" s="232">
        <v>119.53</v>
      </c>
      <c r="I42" s="102">
        <f t="shared" si="0"/>
        <v>9.791494442913562E-2</v>
      </c>
      <c r="J42" s="232">
        <f t="shared" si="1"/>
        <v>10.659999999999997</v>
      </c>
      <c r="K42" s="233">
        <v>21.53</v>
      </c>
      <c r="L42" s="233">
        <v>80.959999999999994</v>
      </c>
      <c r="M42" s="233">
        <v>94.72</v>
      </c>
      <c r="N42" s="233">
        <v>108.17</v>
      </c>
      <c r="O42" s="233">
        <v>89.24</v>
      </c>
      <c r="P42" s="102">
        <f t="shared" si="2"/>
        <v>-0.17500231117685128</v>
      </c>
      <c r="Q42" s="232">
        <f t="shared" si="3"/>
        <v>-18.930000000000007</v>
      </c>
    </row>
    <row r="43" spans="2:17" x14ac:dyDescent="0.25">
      <c r="B43" s="96" t="s">
        <v>62</v>
      </c>
      <c r="C43" s="228">
        <v>77.83</v>
      </c>
      <c r="D43" s="228">
        <v>56.41</v>
      </c>
      <c r="E43" s="228">
        <v>62.75</v>
      </c>
      <c r="F43" s="228">
        <v>96.52</v>
      </c>
      <c r="G43" s="228">
        <v>119.31</v>
      </c>
      <c r="H43" s="228">
        <v>129.19999999999999</v>
      </c>
      <c r="I43" s="98">
        <f t="shared" si="0"/>
        <v>8.2893303159835563E-2</v>
      </c>
      <c r="J43" s="228">
        <f t="shared" si="1"/>
        <v>9.8899999999999864</v>
      </c>
      <c r="K43" s="229">
        <v>27.05</v>
      </c>
      <c r="L43" s="229">
        <v>88.63</v>
      </c>
      <c r="M43" s="229">
        <v>107.53</v>
      </c>
      <c r="N43" s="229">
        <v>121.37</v>
      </c>
      <c r="O43" s="229">
        <v>98.02</v>
      </c>
      <c r="P43" s="98">
        <f t="shared" si="2"/>
        <v>-0.19238691604185554</v>
      </c>
      <c r="Q43" s="228">
        <f t="shared" si="3"/>
        <v>-23.350000000000009</v>
      </c>
    </row>
    <row r="44" spans="2:17" x14ac:dyDescent="0.25">
      <c r="B44" s="99" t="s">
        <v>63</v>
      </c>
      <c r="C44" s="230">
        <v>81.78</v>
      </c>
      <c r="D44" s="230">
        <v>0</v>
      </c>
      <c r="E44" s="230">
        <v>65.540000000000006</v>
      </c>
      <c r="F44" s="230">
        <v>100.75</v>
      </c>
      <c r="G44" s="230">
        <v>126.98</v>
      </c>
      <c r="H44" s="230">
        <v>135.56</v>
      </c>
      <c r="I44" s="100">
        <f t="shared" si="0"/>
        <v>6.7569696015120417E-2</v>
      </c>
      <c r="J44" s="230">
        <f t="shared" si="1"/>
        <v>8.5799999999999983</v>
      </c>
      <c r="K44" s="231">
        <v>0</v>
      </c>
      <c r="L44" s="231">
        <v>90.92</v>
      </c>
      <c r="M44" s="231">
        <v>112.44</v>
      </c>
      <c r="N44" s="231">
        <v>124.07</v>
      </c>
      <c r="O44" s="231">
        <v>97.06</v>
      </c>
      <c r="P44" s="100">
        <f t="shared" si="2"/>
        <v>-0.21769968566132014</v>
      </c>
      <c r="Q44" s="230">
        <f t="shared" si="3"/>
        <v>-27.009999999999991</v>
      </c>
    </row>
    <row r="45" spans="2:17" x14ac:dyDescent="0.25">
      <c r="B45" s="99" t="s">
        <v>64</v>
      </c>
      <c r="C45" s="230">
        <v>62.86</v>
      </c>
      <c r="D45" s="230">
        <v>0</v>
      </c>
      <c r="E45" s="230">
        <v>51.57</v>
      </c>
      <c r="F45" s="230">
        <v>79.3</v>
      </c>
      <c r="G45" s="230">
        <v>88.65</v>
      </c>
      <c r="H45" s="230">
        <v>103.35</v>
      </c>
      <c r="I45" s="100">
        <f t="shared" si="0"/>
        <v>0.16582064297800314</v>
      </c>
      <c r="J45" s="230">
        <f t="shared" si="1"/>
        <v>14.699999999999989</v>
      </c>
      <c r="K45" s="231">
        <v>0</v>
      </c>
      <c r="L45" s="231">
        <v>79.31</v>
      </c>
      <c r="M45" s="231">
        <v>88.84</v>
      </c>
      <c r="N45" s="231">
        <v>110.39</v>
      </c>
      <c r="O45" s="231">
        <v>101.91</v>
      </c>
      <c r="P45" s="100">
        <f t="shared" si="2"/>
        <v>-7.6818552405109153E-2</v>
      </c>
      <c r="Q45" s="230">
        <f t="shared" si="3"/>
        <v>-8.480000000000004</v>
      </c>
    </row>
    <row r="46" spans="2:17" x14ac:dyDescent="0.25">
      <c r="B46" s="96" t="s">
        <v>65</v>
      </c>
      <c r="C46" s="228">
        <v>50.93</v>
      </c>
      <c r="D46" s="228">
        <v>31.82</v>
      </c>
      <c r="E46" s="228">
        <v>24.11</v>
      </c>
      <c r="F46" s="228">
        <v>48.07</v>
      </c>
      <c r="G46" s="228">
        <v>55.12</v>
      </c>
      <c r="H46" s="228">
        <v>69.489999999999995</v>
      </c>
      <c r="I46" s="98">
        <f t="shared" si="0"/>
        <v>0.26070391872278664</v>
      </c>
      <c r="J46" s="228">
        <f t="shared" si="1"/>
        <v>14.369999999999997</v>
      </c>
      <c r="K46" s="229">
        <v>10.89</v>
      </c>
      <c r="L46" s="229">
        <v>41</v>
      </c>
      <c r="M46" s="229">
        <v>31.29</v>
      </c>
      <c r="N46" s="229">
        <v>39.33</v>
      </c>
      <c r="O46" s="229">
        <v>45.38</v>
      </c>
      <c r="P46" s="98">
        <f t="shared" si="2"/>
        <v>0.15382659547419286</v>
      </c>
      <c r="Q46" s="228">
        <f t="shared" si="3"/>
        <v>6.0500000000000043</v>
      </c>
    </row>
    <row r="47" spans="2:17" x14ac:dyDescent="0.25">
      <c r="B47" s="93" t="s">
        <v>55</v>
      </c>
      <c r="C47" s="232">
        <v>39.85</v>
      </c>
      <c r="D47" s="232">
        <v>22.7</v>
      </c>
      <c r="E47" s="232">
        <v>29.35</v>
      </c>
      <c r="F47" s="232">
        <v>43.18</v>
      </c>
      <c r="G47" s="232">
        <v>54</v>
      </c>
      <c r="H47" s="232">
        <v>56.57</v>
      </c>
      <c r="I47" s="102">
        <f t="shared" si="0"/>
        <v>4.7592592592592631E-2</v>
      </c>
      <c r="J47" s="232">
        <f t="shared" si="1"/>
        <v>2.5700000000000003</v>
      </c>
      <c r="K47" s="233">
        <v>21.29</v>
      </c>
      <c r="L47" s="233">
        <v>32.770000000000003</v>
      </c>
      <c r="M47" s="233">
        <v>35.520000000000003</v>
      </c>
      <c r="N47" s="233">
        <v>33.979999999999997</v>
      </c>
      <c r="O47" s="233">
        <v>36.26</v>
      </c>
      <c r="P47" s="102">
        <f t="shared" si="2"/>
        <v>6.7098293113596164E-2</v>
      </c>
      <c r="Q47" s="232">
        <f t="shared" si="3"/>
        <v>2.2800000000000011</v>
      </c>
    </row>
    <row r="48" spans="2:17" x14ac:dyDescent="0.25">
      <c r="B48" s="96" t="s">
        <v>62</v>
      </c>
      <c r="C48" s="228">
        <v>40.090000000000003</v>
      </c>
      <c r="D48" s="228">
        <v>22.26</v>
      </c>
      <c r="E48" s="228">
        <v>29.29</v>
      </c>
      <c r="F48" s="228">
        <v>43.74</v>
      </c>
      <c r="G48" s="228">
        <v>54.6</v>
      </c>
      <c r="H48" s="228">
        <v>58.13</v>
      </c>
      <c r="I48" s="98">
        <f t="shared" si="0"/>
        <v>6.4652014652014644E-2</v>
      </c>
      <c r="J48" s="228">
        <f t="shared" si="1"/>
        <v>3.5300000000000011</v>
      </c>
      <c r="K48" s="229">
        <v>21.34</v>
      </c>
      <c r="L48" s="229">
        <v>33.15</v>
      </c>
      <c r="M48" s="229">
        <v>35.619999999999997</v>
      </c>
      <c r="N48" s="229">
        <v>34.44</v>
      </c>
      <c r="O48" s="229">
        <v>36.79</v>
      </c>
      <c r="P48" s="98">
        <f t="shared" si="2"/>
        <v>6.8234610917537797E-2</v>
      </c>
      <c r="Q48" s="228">
        <f t="shared" si="3"/>
        <v>2.3500000000000014</v>
      </c>
    </row>
    <row r="49" spans="2:17" x14ac:dyDescent="0.25">
      <c r="B49" s="99" t="s">
        <v>63</v>
      </c>
      <c r="C49" s="230">
        <v>43.4</v>
      </c>
      <c r="D49" s="230">
        <v>22.57</v>
      </c>
      <c r="E49" s="230">
        <v>31.13</v>
      </c>
      <c r="F49" s="230">
        <v>47.77</v>
      </c>
      <c r="G49" s="230">
        <v>59.8</v>
      </c>
      <c r="H49" s="230">
        <v>61.8</v>
      </c>
      <c r="I49" s="100">
        <f t="shared" si="0"/>
        <v>3.3444816053511683E-2</v>
      </c>
      <c r="J49" s="230">
        <f t="shared" si="1"/>
        <v>2</v>
      </c>
      <c r="K49" s="231">
        <v>24.57</v>
      </c>
      <c r="L49" s="231">
        <v>33.99</v>
      </c>
      <c r="M49" s="231">
        <v>37.82</v>
      </c>
      <c r="N49" s="231">
        <v>36.47</v>
      </c>
      <c r="O49" s="231">
        <v>37.270000000000003</v>
      </c>
      <c r="P49" s="100">
        <f t="shared" si="2"/>
        <v>2.193583767480134E-2</v>
      </c>
      <c r="Q49" s="230">
        <f t="shared" si="3"/>
        <v>0.80000000000000426</v>
      </c>
    </row>
    <row r="50" spans="2:17" x14ac:dyDescent="0.25">
      <c r="B50" s="99" t="s">
        <v>64</v>
      </c>
      <c r="C50" s="230">
        <v>28.7</v>
      </c>
      <c r="D50" s="230">
        <v>21.23</v>
      </c>
      <c r="E50" s="230">
        <v>23.12</v>
      </c>
      <c r="F50" s="230">
        <v>33.61</v>
      </c>
      <c r="G50" s="230">
        <v>39.770000000000003</v>
      </c>
      <c r="H50" s="230">
        <v>48.41</v>
      </c>
      <c r="I50" s="100">
        <f t="shared" si="0"/>
        <v>0.21724918280110628</v>
      </c>
      <c r="J50" s="230">
        <f t="shared" si="1"/>
        <v>8.6399999999999935</v>
      </c>
      <c r="K50" s="231">
        <v>10.82</v>
      </c>
      <c r="L50" s="231">
        <v>31.23</v>
      </c>
      <c r="M50" s="231">
        <v>29.49</v>
      </c>
      <c r="N50" s="231">
        <v>28.92</v>
      </c>
      <c r="O50" s="231">
        <v>35.53</v>
      </c>
      <c r="P50" s="100">
        <f t="shared" si="2"/>
        <v>0.22856154910096826</v>
      </c>
      <c r="Q50" s="230">
        <f t="shared" si="3"/>
        <v>6.6099999999999994</v>
      </c>
    </row>
    <row r="51" spans="2:17" x14ac:dyDescent="0.25">
      <c r="B51" s="96" t="s">
        <v>65</v>
      </c>
      <c r="C51" s="228">
        <v>35.76</v>
      </c>
      <c r="D51" s="228">
        <v>16.5</v>
      </c>
      <c r="E51" s="228">
        <v>23.32</v>
      </c>
      <c r="F51" s="228">
        <v>71.760000000000005</v>
      </c>
      <c r="G51" s="228">
        <v>82.76</v>
      </c>
      <c r="H51" s="228">
        <v>68.41</v>
      </c>
      <c r="I51" s="98">
        <f t="shared" si="0"/>
        <v>-0.17339294345094258</v>
      </c>
      <c r="J51" s="228">
        <f t="shared" si="1"/>
        <v>-14.350000000000009</v>
      </c>
      <c r="K51" s="229">
        <v>12.62</v>
      </c>
      <c r="L51" s="229">
        <v>33.69</v>
      </c>
      <c r="M51" s="229">
        <v>47.08</v>
      </c>
      <c r="N51" s="229">
        <v>30.42</v>
      </c>
      <c r="O51" s="229">
        <v>72.69</v>
      </c>
      <c r="P51" s="98">
        <f t="shared" si="2"/>
        <v>1.3895463510848125</v>
      </c>
      <c r="Q51" s="228">
        <f t="shared" si="3"/>
        <v>42.269999999999996</v>
      </c>
    </row>
    <row r="52" spans="2:17" ht="6.95" customHeight="1" x14ac:dyDescent="0.25">
      <c r="B52" s="103"/>
      <c r="C52" s="104"/>
      <c r="D52" s="104"/>
      <c r="E52" s="104"/>
      <c r="F52" s="104"/>
      <c r="G52" s="105"/>
      <c r="H52" s="104"/>
      <c r="I52" s="106"/>
      <c r="J52" s="104"/>
      <c r="K52" s="104"/>
      <c r="L52" s="104"/>
      <c r="M52" s="104"/>
      <c r="N52" s="104"/>
      <c r="O52" s="106"/>
      <c r="P52" s="106"/>
      <c r="Q52" s="106"/>
    </row>
    <row r="53" spans="2:17" ht="15" customHeight="1" x14ac:dyDescent="0.25">
      <c r="B53" s="107" t="s">
        <v>57</v>
      </c>
      <c r="C53" s="107"/>
      <c r="D53" s="107"/>
      <c r="E53" s="107"/>
      <c r="F53" s="107"/>
      <c r="G53" s="107"/>
      <c r="H53" s="107"/>
      <c r="I53" s="107"/>
      <c r="J53" s="107"/>
      <c r="K53" s="107"/>
      <c r="L53" s="107"/>
      <c r="M53" s="107"/>
      <c r="N53" s="107"/>
      <c r="O53" s="107"/>
      <c r="P53" s="107"/>
      <c r="Q53" s="107"/>
    </row>
  </sheetData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16C808-95A0-4D52-92E1-3948ACA15929}">
  <sheetPr>
    <tabColor theme="4"/>
  </sheetPr>
  <dimension ref="B4:B25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spans="2:2" ht="15" customHeight="1" x14ac:dyDescent="0.25"/>
    <row r="18" spans="2:2" ht="15" customHeight="1" x14ac:dyDescent="0.25"/>
    <row r="19" spans="2:2" ht="15" customHeight="1" x14ac:dyDescent="0.25"/>
    <row r="20" spans="2:2" ht="15" customHeight="1" x14ac:dyDescent="0.25"/>
    <row r="21" spans="2:2" ht="15" customHeight="1" x14ac:dyDescent="0.25"/>
    <row r="22" spans="2:2" ht="15" customHeight="1" x14ac:dyDescent="0.25"/>
    <row r="23" spans="2:2" ht="15" customHeight="1" x14ac:dyDescent="0.25"/>
    <row r="24" spans="2:2" ht="15" customHeight="1" x14ac:dyDescent="0.25"/>
    <row r="25" spans="2:2" x14ac:dyDescent="0.25">
      <c r="B25" t="s">
        <v>161</v>
      </c>
    </row>
  </sheetData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29CE4A-B6FD-4AFA-B471-299649FC1D35}">
  <sheetPr>
    <tabColor theme="4" tint="0.39997558519241921"/>
  </sheetPr>
  <dimension ref="A1:AE13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4" width="14.28515625" customWidth="1"/>
    <col min="5" max="12" width="14.7109375" customWidth="1"/>
    <col min="13" max="13" width="11.42578125" customWidth="1"/>
    <col min="14" max="14" width="14.7109375" customWidth="1"/>
    <col min="20" max="20" width="12.42578125" customWidth="1"/>
    <col min="27" max="27" width="14" customWidth="1"/>
    <col min="31" max="31" width="11.42578125" style="1"/>
  </cols>
  <sheetData>
    <row r="1" spans="1:31" ht="30" customHeight="1" x14ac:dyDescent="0.25">
      <c r="B1" s="1" t="s">
        <v>304</v>
      </c>
      <c r="C1" s="1"/>
      <c r="D1" s="1"/>
      <c r="F1" s="234"/>
      <c r="G1" s="234"/>
      <c r="H1" s="234"/>
      <c r="J1" s="234"/>
    </row>
    <row r="3" spans="1:31" s="4" customFormat="1" ht="25.5" customHeight="1" thickBot="1" x14ac:dyDescent="0.3">
      <c r="B3" s="66" t="s">
        <v>305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173" t="s">
        <v>259</v>
      </c>
      <c r="D5" s="173" t="s">
        <v>260</v>
      </c>
      <c r="E5" s="173" t="s">
        <v>261</v>
      </c>
      <c r="F5" s="173" t="s">
        <v>262</v>
      </c>
      <c r="G5" s="174" t="str">
        <f>CONCATENATE("var. ",RIGHT(F5,2),"/",RIGHT(E5,2))</f>
        <v>var. 23/22</v>
      </c>
      <c r="H5" s="174" t="str">
        <f>CONCATENATE("dif. ",RIGHT(F5,2),"/",RIGHT(E5,2))</f>
        <v>dif. 23/22</v>
      </c>
      <c r="I5" s="174" t="str">
        <f>CONCATENATE("%/s total España ",RIGHT(F5,4))</f>
        <v>%/s total España 2023</v>
      </c>
      <c r="J5" s="173" t="s">
        <v>263</v>
      </c>
      <c r="K5" s="174" t="str">
        <f>CONCATENATE("var. ",RIGHT(J5,2),"/",RIGHT(F5,2))</f>
        <v>var. 24/23</v>
      </c>
      <c r="L5" s="174" t="str">
        <f>CONCATENATE("dif. ",RIGHT(J5,2),"/",RIGHT(F5,2))</f>
        <v>dif. 24/23</v>
      </c>
      <c r="M5" s="174" t="str">
        <f>CONCATENATE("%/s total España ",RIGHT(J5,4))</f>
        <v>%/s total España 2024</v>
      </c>
      <c r="N5" s="173" t="s">
        <v>264</v>
      </c>
      <c r="O5" s="174" t="str">
        <f>CONCATENATE("var. ",RIGHT(N5,2),"/",RIGHT(J5,2))</f>
        <v>var. 25/24</v>
      </c>
      <c r="P5" s="174" t="str">
        <f>CONCATENATE("dif. ",RIGHT(N5,2),"/",RIGHT(J5,2))</f>
        <v>dif. 25/24</v>
      </c>
      <c r="Q5" s="174" t="str">
        <f>CONCATENATE("var. ",RIGHT(N5,2),"/",RIGHT(C5,2))</f>
        <v>var. 25/20</v>
      </c>
      <c r="R5" s="174" t="str">
        <f>CONCATENATE("dif. ",RIGHT(N5,2),"/",RIGHT(C5,2))</f>
        <v>dif. 25/20</v>
      </c>
      <c r="S5" s="174" t="str">
        <f>CONCATENATE("%/s total España ",RIGHT(N5,4))</f>
        <v>%/s total España 2025</v>
      </c>
      <c r="T5" s="174" t="str">
        <f>CONCATENATE("%/s total Turistas ",RIGHT(N5,4))</f>
        <v>%/s total Turistas 2025</v>
      </c>
      <c r="AE5" s="1"/>
    </row>
    <row r="6" spans="1:31" s="4" customFormat="1" ht="18.75" x14ac:dyDescent="0.3">
      <c r="B6" s="235" t="s">
        <v>173</v>
      </c>
      <c r="C6" s="236">
        <v>52853</v>
      </c>
      <c r="D6" s="236">
        <v>58803</v>
      </c>
      <c r="E6" s="236">
        <v>104421</v>
      </c>
      <c r="F6" s="236">
        <v>126576</v>
      </c>
      <c r="G6" s="237">
        <f t="shared" ref="G6:G11" si="0">F6/E6-1</f>
        <v>0.21216996581147463</v>
      </c>
      <c r="H6" s="236">
        <f t="shared" ref="H6:H11" si="1">F6-E6</f>
        <v>22155</v>
      </c>
      <c r="I6" s="237"/>
      <c r="J6" s="236">
        <v>125410</v>
      </c>
      <c r="K6" s="237">
        <f t="shared" ref="K6:K11" si="2">J6/F6-1</f>
        <v>-9.2118569081026669E-3</v>
      </c>
      <c r="L6" s="236">
        <f t="shared" ref="L6:L11" si="3">J6-F6</f>
        <v>-1166</v>
      </c>
      <c r="M6" s="237"/>
      <c r="N6" s="236">
        <v>140761</v>
      </c>
      <c r="O6" s="237">
        <f t="shared" ref="O6:O11" si="4">N6/J6-1</f>
        <v>0.12240650665816122</v>
      </c>
      <c r="P6" s="236">
        <f t="shared" ref="P6:P11" si="5">N6-J6</f>
        <v>15351</v>
      </c>
      <c r="Q6" s="237">
        <f>N6/C6-1</f>
        <v>1.6632546875295633</v>
      </c>
      <c r="R6" s="236">
        <f>N6-C6</f>
        <v>87908</v>
      </c>
      <c r="S6" s="237"/>
      <c r="T6" s="237"/>
      <c r="V6" s="29"/>
      <c r="AE6" s="1"/>
    </row>
    <row r="7" spans="1:31" ht="18.75" x14ac:dyDescent="0.3">
      <c r="A7" s="4"/>
      <c r="B7" s="235" t="s">
        <v>174</v>
      </c>
      <c r="C7" s="236">
        <v>26940</v>
      </c>
      <c r="D7" s="236">
        <v>38654</v>
      </c>
      <c r="E7" s="236">
        <v>62976</v>
      </c>
      <c r="F7" s="236">
        <v>76465</v>
      </c>
      <c r="G7" s="237">
        <f t="shared" si="0"/>
        <v>0.21419270833333326</v>
      </c>
      <c r="H7" s="236">
        <f t="shared" si="1"/>
        <v>13489</v>
      </c>
      <c r="I7" s="237">
        <f>F7/$F$7</f>
        <v>1</v>
      </c>
      <c r="J7" s="236">
        <v>75937</v>
      </c>
      <c r="K7" s="237">
        <f t="shared" si="2"/>
        <v>-6.9051199895376891E-3</v>
      </c>
      <c r="L7" s="236">
        <f t="shared" si="3"/>
        <v>-528</v>
      </c>
      <c r="M7" s="237">
        <f>J7/$J$7</f>
        <v>1</v>
      </c>
      <c r="N7" s="236">
        <v>87725</v>
      </c>
      <c r="O7" s="237">
        <f t="shared" si="4"/>
        <v>0.1552339439272028</v>
      </c>
      <c r="P7" s="236">
        <f t="shared" si="5"/>
        <v>11788</v>
      </c>
      <c r="Q7" s="237">
        <f t="shared" ref="Q7:Q11" si="6">N7/C7-1</f>
        <v>2.2563103192279139</v>
      </c>
      <c r="R7" s="236">
        <f t="shared" ref="R7:R11" si="7">N7-C7</f>
        <v>60785</v>
      </c>
      <c r="S7" s="237">
        <f>N7/$N$7</f>
        <v>1</v>
      </c>
      <c r="T7" s="237">
        <f>N7/$N$6</f>
        <v>0.62321949971938251</v>
      </c>
      <c r="V7" s="29"/>
      <c r="W7" s="81"/>
      <c r="AE7" s="1" t="s">
        <v>175</v>
      </c>
    </row>
    <row r="8" spans="1:31" ht="15.75" x14ac:dyDescent="0.25">
      <c r="A8" s="4"/>
      <c r="B8" s="238" t="s">
        <v>102</v>
      </c>
      <c r="C8" s="239">
        <v>13225</v>
      </c>
      <c r="D8" s="239">
        <v>17793</v>
      </c>
      <c r="E8" s="239">
        <v>31462</v>
      </c>
      <c r="F8" s="239">
        <v>40904</v>
      </c>
      <c r="G8" s="240">
        <f t="shared" si="0"/>
        <v>0.30010806687432456</v>
      </c>
      <c r="H8" s="239">
        <f t="shared" si="1"/>
        <v>9442</v>
      </c>
      <c r="I8" s="240">
        <f>F8/$F$7</f>
        <v>0.53493755312888247</v>
      </c>
      <c r="J8" s="239">
        <v>41828</v>
      </c>
      <c r="K8" s="240">
        <f t="shared" si="2"/>
        <v>2.2589477801681968E-2</v>
      </c>
      <c r="L8" s="239">
        <f t="shared" si="3"/>
        <v>924</v>
      </c>
      <c r="M8" s="240">
        <f>J8/$J$7</f>
        <v>0.55082502600840166</v>
      </c>
      <c r="N8" s="239">
        <v>43681</v>
      </c>
      <c r="O8" s="240">
        <f t="shared" si="4"/>
        <v>4.4300468585636521E-2</v>
      </c>
      <c r="P8" s="239">
        <f t="shared" si="5"/>
        <v>1853</v>
      </c>
      <c r="Q8" s="240">
        <f t="shared" si="6"/>
        <v>2.3029111531190924</v>
      </c>
      <c r="R8" s="239">
        <f t="shared" si="7"/>
        <v>30456</v>
      </c>
      <c r="S8" s="240">
        <f>N8/$N$7</f>
        <v>0.49793103448275861</v>
      </c>
      <c r="T8" s="240">
        <f>N8/$N$6</f>
        <v>0.31032033020509942</v>
      </c>
      <c r="V8" s="29"/>
      <c r="W8" s="81"/>
      <c r="AE8" s="1" t="s">
        <v>176</v>
      </c>
    </row>
    <row r="9" spans="1:31" s="4" customFormat="1" x14ac:dyDescent="0.25">
      <c r="B9" s="241" t="s">
        <v>105</v>
      </c>
      <c r="C9" s="242">
        <v>13715</v>
      </c>
      <c r="D9" s="242">
        <v>20861</v>
      </c>
      <c r="E9" s="242">
        <v>31514</v>
      </c>
      <c r="F9" s="242">
        <v>35561</v>
      </c>
      <c r="G9" s="243">
        <f t="shared" si="0"/>
        <v>0.12841911531382877</v>
      </c>
      <c r="H9" s="244">
        <f t="shared" si="1"/>
        <v>4047</v>
      </c>
      <c r="I9" s="245">
        <f>F9/$F$7</f>
        <v>0.46506244687111753</v>
      </c>
      <c r="J9" s="242">
        <v>34109</v>
      </c>
      <c r="K9" s="243">
        <f t="shared" si="2"/>
        <v>-4.0831247715193641E-2</v>
      </c>
      <c r="L9" s="244">
        <f t="shared" si="3"/>
        <v>-1452</v>
      </c>
      <c r="M9" s="245">
        <f>J9/$J$7</f>
        <v>0.44917497399159828</v>
      </c>
      <c r="N9" s="242">
        <v>44044</v>
      </c>
      <c r="O9" s="243">
        <f t="shared" si="4"/>
        <v>0.29127209827318312</v>
      </c>
      <c r="P9" s="244">
        <f t="shared" si="5"/>
        <v>9935</v>
      </c>
      <c r="Q9" s="243">
        <f t="shared" si="6"/>
        <v>2.2113744075829382</v>
      </c>
      <c r="R9" s="244">
        <f t="shared" si="7"/>
        <v>30329</v>
      </c>
      <c r="S9" s="245">
        <f>N9/$N$7</f>
        <v>0.50206896551724134</v>
      </c>
      <c r="T9" s="245">
        <f>N9/$N$6</f>
        <v>0.31289916951428309</v>
      </c>
      <c r="V9" s="29"/>
      <c r="W9" s="81"/>
      <c r="AE9" s="1" t="s">
        <v>177</v>
      </c>
    </row>
    <row r="10" spans="1:31" s="4" customFormat="1" x14ac:dyDescent="0.25">
      <c r="B10" s="246" t="s">
        <v>178</v>
      </c>
      <c r="C10" s="29">
        <v>2110</v>
      </c>
      <c r="D10" s="29">
        <v>3140</v>
      </c>
      <c r="E10" s="29">
        <v>4261</v>
      </c>
      <c r="F10" s="29">
        <v>12041</v>
      </c>
      <c r="G10" s="22">
        <f t="shared" si="0"/>
        <v>1.8258624735977471</v>
      </c>
      <c r="H10" s="20">
        <f t="shared" si="1"/>
        <v>7780</v>
      </c>
      <c r="I10" s="31">
        <f>F10/$F$7</f>
        <v>0.15747073824625646</v>
      </c>
      <c r="J10" s="29">
        <v>7060</v>
      </c>
      <c r="K10" s="22">
        <f t="shared" si="2"/>
        <v>-0.41366996096669717</v>
      </c>
      <c r="L10" s="20">
        <f t="shared" si="3"/>
        <v>-4981</v>
      </c>
      <c r="M10" s="31">
        <f>J10/$J$7</f>
        <v>9.2971805575674568E-2</v>
      </c>
      <c r="N10" s="29">
        <v>18360</v>
      </c>
      <c r="O10" s="22">
        <f t="shared" si="4"/>
        <v>1.6005665722379603</v>
      </c>
      <c r="P10" s="20">
        <f t="shared" si="5"/>
        <v>11300</v>
      </c>
      <c r="Q10" s="22">
        <f t="shared" si="6"/>
        <v>7.7014218009478679</v>
      </c>
      <c r="R10" s="20">
        <f t="shared" si="7"/>
        <v>16250</v>
      </c>
      <c r="S10" s="31">
        <f>N10/$N$7</f>
        <v>0.20929039612425193</v>
      </c>
      <c r="T10" s="31">
        <f>N10/$N$6</f>
        <v>0.13043385596862767</v>
      </c>
      <c r="V10" s="29"/>
      <c r="W10" s="81"/>
      <c r="AE10" s="1" t="s">
        <v>179</v>
      </c>
    </row>
    <row r="11" spans="1:31" s="4" customFormat="1" x14ac:dyDescent="0.25">
      <c r="B11" s="246" t="s">
        <v>180</v>
      </c>
      <c r="C11" s="29">
        <f>C9-C10</f>
        <v>11605</v>
      </c>
      <c r="D11" s="29">
        <f>D9-D10</f>
        <v>17721</v>
      </c>
      <c r="E11" s="29">
        <f>E9-E10</f>
        <v>27253</v>
      </c>
      <c r="F11" s="29">
        <f>F9-F10</f>
        <v>23520</v>
      </c>
      <c r="G11" s="22">
        <f t="shared" si="0"/>
        <v>-0.13697574578945437</v>
      </c>
      <c r="H11" s="20">
        <f t="shared" si="1"/>
        <v>-3733</v>
      </c>
      <c r="I11" s="31">
        <f>F11/$F$7</f>
        <v>0.30759170862486107</v>
      </c>
      <c r="J11" s="29">
        <f>J9-J10</f>
        <v>27049</v>
      </c>
      <c r="K11" s="22">
        <f t="shared" si="2"/>
        <v>0.15004251700680271</v>
      </c>
      <c r="L11" s="20">
        <f t="shared" si="3"/>
        <v>3529</v>
      </c>
      <c r="M11" s="31">
        <f>J11/$J$7</f>
        <v>0.3562031684159237</v>
      </c>
      <c r="N11" s="29">
        <f>N9-N10</f>
        <v>25684</v>
      </c>
      <c r="O11" s="22">
        <f t="shared" si="4"/>
        <v>-5.0463972790121603E-2</v>
      </c>
      <c r="P11" s="20">
        <f t="shared" si="5"/>
        <v>-1365</v>
      </c>
      <c r="Q11" s="22">
        <f t="shared" si="6"/>
        <v>1.2131839724256785</v>
      </c>
      <c r="R11" s="20">
        <f t="shared" si="7"/>
        <v>14079</v>
      </c>
      <c r="S11" s="31">
        <f>N11/$N$7</f>
        <v>0.29277856939298946</v>
      </c>
      <c r="T11" s="31">
        <f>N11/$N$6</f>
        <v>0.1824653135456554</v>
      </c>
      <c r="V11" s="29"/>
      <c r="W11" s="81"/>
      <c r="AE11" s="1" t="s">
        <v>181</v>
      </c>
    </row>
    <row r="12" spans="1:31" s="4" customFormat="1" ht="7.5" customHeight="1" x14ac:dyDescent="0.25">
      <c r="B12" s="247"/>
      <c r="C12" s="247"/>
      <c r="D12" s="247"/>
      <c r="E12" s="247"/>
      <c r="F12" s="247"/>
      <c r="G12" s="247"/>
      <c r="H12" s="247"/>
      <c r="I12" s="247"/>
      <c r="J12" s="247"/>
      <c r="K12" s="247"/>
      <c r="L12" s="247"/>
      <c r="M12" s="247"/>
      <c r="N12" s="247"/>
      <c r="O12" s="247"/>
      <c r="P12" s="247"/>
      <c r="Q12" s="247"/>
      <c r="R12" s="247"/>
      <c r="S12" s="247"/>
      <c r="T12" s="247"/>
      <c r="AE12" s="1" t="s">
        <v>182</v>
      </c>
    </row>
    <row r="13" spans="1:31" s="4" customFormat="1" x14ac:dyDescent="0.25">
      <c r="B13" s="172" t="s">
        <v>183</v>
      </c>
      <c r="C13" s="172"/>
      <c r="D13" s="172"/>
      <c r="E13" s="172"/>
      <c r="F13" s="172"/>
      <c r="G13" s="172"/>
      <c r="H13" s="172"/>
      <c r="I13" s="172"/>
      <c r="J13" s="172"/>
      <c r="K13" s="172"/>
      <c r="L13" s="172"/>
      <c r="M13" s="172"/>
      <c r="N13" s="172"/>
      <c r="O13" s="172"/>
      <c r="P13" s="172"/>
      <c r="Q13" s="172"/>
      <c r="R13" s="172"/>
      <c r="S13" s="172"/>
      <c r="T13" s="172"/>
      <c r="AE13" s="1" t="s">
        <v>184</v>
      </c>
    </row>
    <row r="14" spans="1:31" s="4" customFormat="1" x14ac:dyDescent="0.25">
      <c r="AE14" s="1"/>
    </row>
    <row r="37" spans="2:31" s="4" customFormat="1" ht="15.75" hidden="1" customHeight="1" thickBot="1" x14ac:dyDescent="0.3">
      <c r="B37" s="278" t="s">
        <v>185</v>
      </c>
      <c r="C37" s="278"/>
      <c r="D37" s="278"/>
      <c r="E37" s="278"/>
      <c r="F37" s="278"/>
      <c r="G37" s="278"/>
      <c r="H37" s="278"/>
      <c r="I37" s="278"/>
      <c r="J37" s="278"/>
      <c r="K37" s="278"/>
      <c r="L37" s="278"/>
      <c r="M37" s="278"/>
      <c r="N37" s="278"/>
      <c r="O37" s="278"/>
      <c r="P37" s="278"/>
      <c r="Q37" s="278"/>
      <c r="R37" s="278"/>
      <c r="S37" s="85"/>
      <c r="T37" s="85"/>
      <c r="AE37" s="1"/>
    </row>
    <row r="38" spans="2:31" s="4" customFormat="1" ht="6" hidden="1" customHeight="1" thickBot="1" x14ac:dyDescent="0.3">
      <c r="AE38" s="1"/>
    </row>
    <row r="39" spans="2:31" s="4" customFormat="1" ht="30" hidden="1" x14ac:dyDescent="0.25">
      <c r="E39" s="89"/>
      <c r="F39" s="89"/>
      <c r="G39" s="89"/>
      <c r="H39" s="89"/>
      <c r="I39" s="89"/>
      <c r="J39" s="14">
        <v>2020</v>
      </c>
      <c r="K39" s="14"/>
      <c r="L39" s="14"/>
      <c r="M39" s="14" t="s">
        <v>186</v>
      </c>
      <c r="N39" s="14">
        <v>2021</v>
      </c>
      <c r="O39" s="14" t="s">
        <v>186</v>
      </c>
      <c r="P39" s="14" t="s">
        <v>187</v>
      </c>
      <c r="Q39" s="14" t="s">
        <v>188</v>
      </c>
      <c r="R39" s="14" t="s">
        <v>189</v>
      </c>
      <c r="S39" s="89"/>
      <c r="T39" s="89"/>
      <c r="AE39" s="1"/>
    </row>
    <row r="40" spans="2:31" s="4" customFormat="1" ht="18.75" hidden="1" x14ac:dyDescent="0.3">
      <c r="B40" s="235" t="s">
        <v>173</v>
      </c>
      <c r="C40" s="235"/>
      <c r="D40" s="235"/>
      <c r="E40" s="236"/>
      <c r="F40" s="236"/>
      <c r="G40" s="236"/>
      <c r="H40" s="236"/>
      <c r="I40" s="236"/>
      <c r="J40" s="236">
        <v>1824653</v>
      </c>
      <c r="K40" s="236"/>
      <c r="L40" s="236"/>
      <c r="M40" s="237"/>
      <c r="N40" s="236">
        <v>2354005</v>
      </c>
      <c r="O40" s="237"/>
      <c r="P40" s="237">
        <v>1</v>
      </c>
      <c r="Q40" s="237">
        <v>0.2901110512519367</v>
      </c>
      <c r="R40" s="236">
        <v>529352</v>
      </c>
      <c r="S40" s="248"/>
      <c r="T40" s="248"/>
      <c r="AE40" s="1"/>
    </row>
    <row r="41" spans="2:31" ht="18.75" hidden="1" x14ac:dyDescent="0.3">
      <c r="B41" s="235" t="s">
        <v>174</v>
      </c>
      <c r="C41" s="235"/>
      <c r="D41" s="235"/>
      <c r="E41" s="236"/>
      <c r="F41" s="236"/>
      <c r="G41" s="236"/>
      <c r="H41" s="236"/>
      <c r="I41" s="236"/>
      <c r="J41" s="236">
        <v>603938</v>
      </c>
      <c r="K41" s="236"/>
      <c r="L41" s="236"/>
      <c r="M41" s="237">
        <v>1</v>
      </c>
      <c r="N41" s="236">
        <v>936181</v>
      </c>
      <c r="O41" s="237">
        <v>1</v>
      </c>
      <c r="P41" s="237">
        <v>0.39769711619134201</v>
      </c>
      <c r="Q41" s="237">
        <v>0.55012766211101138</v>
      </c>
      <c r="R41" s="236">
        <v>332243</v>
      </c>
      <c r="S41" s="248"/>
      <c r="T41" s="248"/>
      <c r="AE41" s="1" t="s">
        <v>175</v>
      </c>
    </row>
    <row r="42" spans="2:31" ht="15.75" hidden="1" x14ac:dyDescent="0.25">
      <c r="B42" s="238" t="s">
        <v>102</v>
      </c>
      <c r="C42" s="238"/>
      <c r="D42" s="238"/>
      <c r="E42" s="239"/>
      <c r="F42" s="239"/>
      <c r="G42" s="239"/>
      <c r="H42" s="239"/>
      <c r="I42" s="239"/>
      <c r="J42" s="239">
        <v>276550.36166633503</v>
      </c>
      <c r="K42" s="239"/>
      <c r="L42" s="239"/>
      <c r="M42" s="240">
        <v>0.45791184139155844</v>
      </c>
      <c r="N42" s="239">
        <v>430252.45635520399</v>
      </c>
      <c r="O42" s="240">
        <v>0.4595825554622493</v>
      </c>
      <c r="P42" s="240">
        <v>0.18277465695918402</v>
      </c>
      <c r="Q42" s="240">
        <v>0.55578337978930015</v>
      </c>
      <c r="R42" s="239">
        <v>153702.09468886897</v>
      </c>
      <c r="S42" s="249"/>
      <c r="T42" s="249"/>
      <c r="AE42" s="1" t="s">
        <v>176</v>
      </c>
    </row>
    <row r="43" spans="2:31" s="4" customFormat="1" hidden="1" x14ac:dyDescent="0.25">
      <c r="B43" s="241" t="s">
        <v>105</v>
      </c>
      <c r="C43" s="250"/>
      <c r="D43" s="250"/>
      <c r="E43" s="242"/>
      <c r="F43" s="242"/>
      <c r="G43" s="242"/>
      <c r="H43" s="242"/>
      <c r="I43" s="242"/>
      <c r="J43" s="242">
        <v>327387.63833385095</v>
      </c>
      <c r="K43" s="242"/>
      <c r="L43" s="242"/>
      <c r="M43" s="245">
        <v>0.54208815860874948</v>
      </c>
      <c r="N43" s="242">
        <v>505927.5436448183</v>
      </c>
      <c r="O43" s="245">
        <v>0.54041637636826456</v>
      </c>
      <c r="P43" s="245">
        <v>0.21492203442423372</v>
      </c>
      <c r="Q43" s="243">
        <v>0.54534711884540576</v>
      </c>
      <c r="R43" s="244">
        <v>178539.90531096736</v>
      </c>
      <c r="S43" s="251"/>
      <c r="T43" s="251"/>
      <c r="AE43" s="1" t="s">
        <v>177</v>
      </c>
    </row>
    <row r="44" spans="2:31" s="4" customFormat="1" hidden="1" x14ac:dyDescent="0.25">
      <c r="B44" s="246" t="s">
        <v>178</v>
      </c>
      <c r="C44" s="246"/>
      <c r="D44" s="246"/>
      <c r="E44" s="29"/>
      <c r="F44" s="29"/>
      <c r="G44" s="29"/>
      <c r="H44" s="29"/>
      <c r="I44" s="29"/>
      <c r="J44" s="29">
        <v>242109.12821622068</v>
      </c>
      <c r="K44" s="29"/>
      <c r="L44" s="29"/>
      <c r="M44" s="31">
        <v>0.4008840778626625</v>
      </c>
      <c r="N44" s="29">
        <v>391384.01224089495</v>
      </c>
      <c r="O44" s="31">
        <v>0.41806446855992052</v>
      </c>
      <c r="P44" s="31">
        <v>0.16626303352834634</v>
      </c>
      <c r="Q44" s="22">
        <v>0.61656033014732592</v>
      </c>
      <c r="R44" s="20">
        <v>149274.88402467428</v>
      </c>
      <c r="S44" s="20"/>
      <c r="T44" s="20"/>
      <c r="AE44" s="1" t="s">
        <v>179</v>
      </c>
    </row>
    <row r="45" spans="2:31" s="4" customFormat="1" hidden="1" x14ac:dyDescent="0.25">
      <c r="B45" s="246" t="s">
        <v>180</v>
      </c>
      <c r="C45" s="246"/>
      <c r="D45" s="246"/>
      <c r="E45" s="29"/>
      <c r="F45" s="29"/>
      <c r="G45" s="29"/>
      <c r="H45" s="29"/>
      <c r="I45" s="29"/>
      <c r="J45" s="29">
        <v>85278.510117630256</v>
      </c>
      <c r="K45" s="29"/>
      <c r="L45" s="29"/>
      <c r="M45" s="31">
        <v>0.14120408074608695</v>
      </c>
      <c r="N45" s="29">
        <v>114543.53140392336</v>
      </c>
      <c r="O45" s="31">
        <v>0.12235190780834407</v>
      </c>
      <c r="P45" s="31">
        <v>4.8659000895887379E-2</v>
      </c>
      <c r="Q45" s="22">
        <v>0.34316994100771625</v>
      </c>
      <c r="R45" s="20">
        <v>29265.021286293108</v>
      </c>
      <c r="S45" s="20"/>
      <c r="T45" s="20"/>
      <c r="AE45" s="1" t="s">
        <v>181</v>
      </c>
    </row>
    <row r="46" spans="2:31" s="4" customFormat="1" ht="7.5" hidden="1" customHeight="1" x14ac:dyDescent="0.25">
      <c r="B46" s="247"/>
      <c r="C46" s="247"/>
      <c r="D46" s="247"/>
      <c r="E46" s="247"/>
      <c r="F46" s="247"/>
      <c r="G46" s="247"/>
      <c r="H46" s="247"/>
      <c r="I46" s="247"/>
      <c r="J46" s="247"/>
      <c r="K46" s="247"/>
      <c r="L46" s="247"/>
      <c r="M46" s="247"/>
      <c r="N46" s="247"/>
      <c r="O46" s="247"/>
      <c r="P46" s="247"/>
      <c r="Q46" s="247"/>
      <c r="R46" s="247"/>
      <c r="AE46" s="1" t="s">
        <v>182</v>
      </c>
    </row>
    <row r="47" spans="2:31" s="4" customFormat="1" hidden="1" x14ac:dyDescent="0.25">
      <c r="B47" s="296" t="s">
        <v>183</v>
      </c>
      <c r="C47" s="296"/>
      <c r="D47" s="296"/>
      <c r="E47" s="296"/>
      <c r="F47" s="296"/>
      <c r="G47" s="296"/>
      <c r="H47" s="296"/>
      <c r="I47" s="296"/>
      <c r="J47" s="296"/>
      <c r="K47" s="296"/>
      <c r="L47" s="296"/>
      <c r="M47" s="296"/>
      <c r="N47" s="296"/>
      <c r="O47" s="296"/>
      <c r="P47" s="296"/>
      <c r="Q47" s="296"/>
      <c r="R47" s="296"/>
      <c r="S47" s="49"/>
      <c r="T47" s="49"/>
      <c r="AE47" s="1" t="s">
        <v>184</v>
      </c>
    </row>
    <row r="48" spans="2:31" s="4" customFormat="1" hidden="1" x14ac:dyDescent="0.25">
      <c r="AE48" s="1"/>
    </row>
    <row r="49" spans="5:12" hidden="1" x14ac:dyDescent="0.25">
      <c r="E49" s="126"/>
      <c r="F49" s="126"/>
      <c r="G49" s="126"/>
      <c r="H49" s="126"/>
      <c r="I49" s="126"/>
      <c r="J49" s="126">
        <v>0.54208815860874948</v>
      </c>
      <c r="K49" s="126"/>
      <c r="L49" s="126"/>
    </row>
    <row r="50" spans="5:12" hidden="1" x14ac:dyDescent="0.25"/>
    <row r="51" spans="5:12" hidden="1" x14ac:dyDescent="0.25"/>
    <row r="52" spans="5:12" hidden="1" x14ac:dyDescent="0.25"/>
    <row r="53" spans="5:12" hidden="1" x14ac:dyDescent="0.25"/>
    <row r="54" spans="5:12" hidden="1" x14ac:dyDescent="0.25"/>
    <row r="55" spans="5:12" hidden="1" x14ac:dyDescent="0.25"/>
    <row r="56" spans="5:12" hidden="1" x14ac:dyDescent="0.25"/>
    <row r="57" spans="5:12" hidden="1" x14ac:dyDescent="0.25"/>
    <row r="58" spans="5:12" hidden="1" x14ac:dyDescent="0.25"/>
    <row r="59" spans="5:12" hidden="1" x14ac:dyDescent="0.25"/>
    <row r="60" spans="5:12" hidden="1" x14ac:dyDescent="0.25"/>
    <row r="61" spans="5:12" hidden="1" x14ac:dyDescent="0.25"/>
    <row r="62" spans="5:12" hidden="1" x14ac:dyDescent="0.25"/>
    <row r="63" spans="5:12" hidden="1" x14ac:dyDescent="0.25"/>
    <row r="64" spans="5:12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spans="2:31" hidden="1" x14ac:dyDescent="0.25"/>
    <row r="114" spans="2:31" hidden="1" x14ac:dyDescent="0.25"/>
    <row r="115" spans="2:31" hidden="1" x14ac:dyDescent="0.25"/>
    <row r="116" spans="2:31" hidden="1" x14ac:dyDescent="0.25"/>
    <row r="120" spans="2:31" x14ac:dyDescent="0.25">
      <c r="Z120" s="1"/>
      <c r="AE120"/>
    </row>
    <row r="121" spans="2:31" ht="21.75" thickBot="1" x14ac:dyDescent="0.3">
      <c r="B121" s="66" t="s">
        <v>305</v>
      </c>
      <c r="C121" s="66"/>
      <c r="D121" s="66"/>
      <c r="E121" s="66"/>
      <c r="F121" s="66"/>
      <c r="G121" s="66"/>
      <c r="H121" s="66"/>
      <c r="I121" s="66"/>
      <c r="J121" s="66"/>
      <c r="K121" s="66"/>
      <c r="L121" s="66"/>
      <c r="M121" s="66"/>
      <c r="N121" s="66"/>
      <c r="O121" s="66"/>
      <c r="Z121" s="1"/>
      <c r="AE121"/>
    </row>
    <row r="122" spans="2:31" x14ac:dyDescent="0.25"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Z122" s="1"/>
      <c r="AE122"/>
    </row>
    <row r="123" spans="2:31" ht="30" x14ac:dyDescent="0.25">
      <c r="B123" s="4"/>
      <c r="C123" s="186">
        <v>2020</v>
      </c>
      <c r="D123" s="186">
        <v>2021</v>
      </c>
      <c r="E123" s="186">
        <v>2022</v>
      </c>
      <c r="F123" s="186">
        <v>2023</v>
      </c>
      <c r="G123" s="174" t="str">
        <f>CONCATENATE("var. ",RIGHT(F123,2),"/",RIGHT(E123,2))</f>
        <v>var. 23/22</v>
      </c>
      <c r="H123" s="174" t="str">
        <f>CONCATENATE("dif. ",RIGHT(F123,2),"/",RIGHT(E123,2))</f>
        <v>dif. 23/22</v>
      </c>
      <c r="I123" s="174" t="str">
        <f>CONCATENATE("%/s total España ",RIGHT(F123,4))</f>
        <v>%/s total España 2023</v>
      </c>
      <c r="J123" s="186">
        <v>2024</v>
      </c>
      <c r="K123" s="174" t="str">
        <f>CONCATENATE("%/s total España ",RIGHT(J123,4))</f>
        <v>%/s total España 2024</v>
      </c>
      <c r="L123" s="174" t="str">
        <f>CONCATENATE("var. ",RIGHT(J123,2),"/",RIGHT(F123,2))</f>
        <v>var. 24/23</v>
      </c>
      <c r="M123" s="174" t="str">
        <f>CONCATENATE("dif. ",RIGHT(J123,2),"/",RIGHT(F123,2))</f>
        <v>dif. 24/23</v>
      </c>
      <c r="N123" s="174" t="str">
        <f>CONCATENATE("var. ",RIGHT(J123,2),"/",RIGHT(D123,2))</f>
        <v>var. 24/21</v>
      </c>
      <c r="O123" s="174" t="str">
        <f>CONCATENATE("dif. ",RIGHT(J123,2),"/",RIGHT(D123,2))</f>
        <v>dif. 24/21</v>
      </c>
      <c r="Z123" s="1"/>
      <c r="AE123"/>
    </row>
    <row r="124" spans="2:31" ht="18.75" x14ac:dyDescent="0.3">
      <c r="B124" s="235" t="s">
        <v>173</v>
      </c>
      <c r="C124" s="236">
        <v>103516</v>
      </c>
      <c r="D124" s="236">
        <v>164258</v>
      </c>
      <c r="E124" s="236">
        <v>229131</v>
      </c>
      <c r="F124" s="236">
        <v>239109</v>
      </c>
      <c r="G124" s="237">
        <f t="shared" ref="G124:G129" si="8">F124/E124-1</f>
        <v>4.3547141155059865E-2</v>
      </c>
      <c r="H124" s="236">
        <f t="shared" ref="H124:H129" si="9">F124-E124</f>
        <v>9978</v>
      </c>
      <c r="I124" s="237"/>
      <c r="J124" s="236">
        <v>250871</v>
      </c>
      <c r="K124" s="237"/>
      <c r="L124" s="237">
        <f t="shared" ref="L124:L129" si="10">J124/F124-1</f>
        <v>4.9190954752853289E-2</v>
      </c>
      <c r="M124" s="236">
        <f t="shared" ref="M124:M129" si="11">J124-F124</f>
        <v>11762</v>
      </c>
      <c r="N124" s="237">
        <f t="shared" ref="N124:N129" si="12">J124/D124-1</f>
        <v>0.52729851818480689</v>
      </c>
      <c r="O124" s="236">
        <f t="shared" ref="O124:O129" si="13">J124-D124</f>
        <v>86613</v>
      </c>
      <c r="Z124" s="1"/>
      <c r="AE124"/>
    </row>
    <row r="125" spans="2:31" ht="18.75" x14ac:dyDescent="0.3">
      <c r="B125" s="235" t="s">
        <v>174</v>
      </c>
      <c r="C125" s="236">
        <v>61571</v>
      </c>
      <c r="D125" s="236">
        <v>104557</v>
      </c>
      <c r="E125" s="236">
        <v>134886</v>
      </c>
      <c r="F125" s="236">
        <v>146430</v>
      </c>
      <c r="G125" s="237">
        <f t="shared" si="8"/>
        <v>8.5583381522174262E-2</v>
      </c>
      <c r="H125" s="236">
        <f t="shared" si="9"/>
        <v>11544</v>
      </c>
      <c r="I125" s="237">
        <f>F125/$F$7</f>
        <v>1.9149937880075851</v>
      </c>
      <c r="J125" s="236">
        <v>156566</v>
      </c>
      <c r="K125" s="237">
        <f>J125/$J$125</f>
        <v>1</v>
      </c>
      <c r="L125" s="237">
        <f t="shared" si="10"/>
        <v>6.9220788089872309E-2</v>
      </c>
      <c r="M125" s="236">
        <f t="shared" si="11"/>
        <v>10136</v>
      </c>
      <c r="N125" s="237">
        <f t="shared" si="12"/>
        <v>0.49742245856327161</v>
      </c>
      <c r="O125" s="236">
        <f t="shared" si="13"/>
        <v>52009</v>
      </c>
      <c r="Z125" s="1"/>
      <c r="AE125"/>
    </row>
    <row r="126" spans="2:31" ht="15.75" x14ac:dyDescent="0.25">
      <c r="B126" s="238" t="s">
        <v>102</v>
      </c>
      <c r="C126" s="239">
        <v>33780</v>
      </c>
      <c r="D126" s="239">
        <v>51310</v>
      </c>
      <c r="E126" s="239">
        <v>65021</v>
      </c>
      <c r="F126" s="239">
        <v>80309</v>
      </c>
      <c r="G126" s="240">
        <f t="shared" si="8"/>
        <v>0.23512403684963323</v>
      </c>
      <c r="H126" s="239">
        <f t="shared" si="9"/>
        <v>15288</v>
      </c>
      <c r="I126" s="240">
        <f>F126/$F$7</f>
        <v>1.0502713659844374</v>
      </c>
      <c r="J126" s="239">
        <v>80773</v>
      </c>
      <c r="K126" s="240">
        <f>J126/$J$125</f>
        <v>0.51590383608190793</v>
      </c>
      <c r="L126" s="240">
        <f t="shared" si="10"/>
        <v>5.7776836967213807E-3</v>
      </c>
      <c r="M126" s="239">
        <f t="shared" si="11"/>
        <v>464</v>
      </c>
      <c r="N126" s="240">
        <f t="shared" si="12"/>
        <v>0.57421555252387457</v>
      </c>
      <c r="O126" s="239">
        <f t="shared" si="13"/>
        <v>29463</v>
      </c>
      <c r="Z126" s="1"/>
      <c r="AE126"/>
    </row>
    <row r="127" spans="2:31" x14ac:dyDescent="0.25">
      <c r="B127" s="241" t="s">
        <v>105</v>
      </c>
      <c r="C127" s="242">
        <v>27791</v>
      </c>
      <c r="D127" s="242">
        <v>53247</v>
      </c>
      <c r="E127" s="242">
        <v>69865</v>
      </c>
      <c r="F127" s="242">
        <v>66121</v>
      </c>
      <c r="G127" s="243">
        <f t="shared" si="8"/>
        <v>-5.3589064624633198E-2</v>
      </c>
      <c r="H127" s="244">
        <f t="shared" si="9"/>
        <v>-3744</v>
      </c>
      <c r="I127" s="245">
        <f>F127/$F$7</f>
        <v>0.86472242202314786</v>
      </c>
      <c r="J127" s="242">
        <v>75793</v>
      </c>
      <c r="K127" s="245">
        <f>J127/$J$125</f>
        <v>0.48409616391809207</v>
      </c>
      <c r="L127" s="243">
        <f t="shared" si="10"/>
        <v>0.14627727953297742</v>
      </c>
      <c r="M127" s="244">
        <f t="shared" si="11"/>
        <v>9672</v>
      </c>
      <c r="N127" s="243">
        <f t="shared" si="12"/>
        <v>0.42342291584502423</v>
      </c>
      <c r="O127" s="244">
        <f t="shared" si="13"/>
        <v>22546</v>
      </c>
      <c r="Z127" s="1"/>
      <c r="AE127"/>
    </row>
    <row r="128" spans="2:31" x14ac:dyDescent="0.25">
      <c r="B128" s="246" t="s">
        <v>178</v>
      </c>
      <c r="C128" s="29">
        <v>5360</v>
      </c>
      <c r="D128" s="29">
        <v>8578</v>
      </c>
      <c r="E128" s="29">
        <v>10079</v>
      </c>
      <c r="F128" s="29">
        <v>22004</v>
      </c>
      <c r="G128" s="22">
        <f t="shared" si="8"/>
        <v>1.1831530905843834</v>
      </c>
      <c r="H128" s="20">
        <f t="shared" si="9"/>
        <v>11925</v>
      </c>
      <c r="I128" s="31">
        <f>F128/$F$7</f>
        <v>0.28776564441247632</v>
      </c>
      <c r="J128" s="29">
        <v>22268</v>
      </c>
      <c r="K128" s="31">
        <f>J128/$J$125</f>
        <v>0.14222755898470932</v>
      </c>
      <c r="L128" s="22">
        <f t="shared" si="10"/>
        <v>1.1997818578440178E-2</v>
      </c>
      <c r="M128" s="20">
        <f t="shared" si="11"/>
        <v>264</v>
      </c>
      <c r="N128" s="22">
        <f t="shared" si="12"/>
        <v>1.5959431102821169</v>
      </c>
      <c r="O128" s="20">
        <f t="shared" si="13"/>
        <v>13690</v>
      </c>
      <c r="Z128" s="1"/>
      <c r="AE128"/>
    </row>
    <row r="129" spans="2:31" x14ac:dyDescent="0.25">
      <c r="B129" s="246" t="s">
        <v>180</v>
      </c>
      <c r="C129" s="29">
        <f>C127-C128</f>
        <v>22431</v>
      </c>
      <c r="D129" s="29">
        <f>D127-D128</f>
        <v>44669</v>
      </c>
      <c r="E129" s="29">
        <f>E127-E128</f>
        <v>59786</v>
      </c>
      <c r="F129" s="29">
        <f>F127-F128</f>
        <v>44117</v>
      </c>
      <c r="G129" s="22">
        <f t="shared" si="8"/>
        <v>-0.26208476900946709</v>
      </c>
      <c r="H129" s="20">
        <f t="shared" si="9"/>
        <v>-15669</v>
      </c>
      <c r="I129" s="31">
        <f>F129/$F$7</f>
        <v>0.57695677761067155</v>
      </c>
      <c r="J129" s="29">
        <f>J127-J128</f>
        <v>53525</v>
      </c>
      <c r="K129" s="31">
        <f>J129/$J$125</f>
        <v>0.34186860493338272</v>
      </c>
      <c r="L129" s="22">
        <f t="shared" si="10"/>
        <v>0.21325112768320609</v>
      </c>
      <c r="M129" s="20">
        <f t="shared" si="11"/>
        <v>9408</v>
      </c>
      <c r="N129" s="22">
        <f t="shared" si="12"/>
        <v>0.19825829993955546</v>
      </c>
      <c r="O129" s="20">
        <f t="shared" si="13"/>
        <v>8856</v>
      </c>
      <c r="Z129" s="1"/>
      <c r="AE129"/>
    </row>
    <row r="130" spans="2:31" x14ac:dyDescent="0.25">
      <c r="B130" s="247"/>
      <c r="C130" s="247"/>
      <c r="D130" s="247"/>
      <c r="E130" s="247"/>
      <c r="F130" s="247"/>
      <c r="G130" s="247"/>
      <c r="H130" s="247"/>
      <c r="I130" s="247"/>
      <c r="J130" s="247"/>
      <c r="K130" s="247"/>
      <c r="L130" s="247"/>
      <c r="M130" s="247"/>
      <c r="N130" s="247"/>
      <c r="O130" s="247"/>
      <c r="Z130" s="1"/>
      <c r="AE130"/>
    </row>
    <row r="131" spans="2:31" x14ac:dyDescent="0.25">
      <c r="B131" s="172" t="s">
        <v>183</v>
      </c>
      <c r="C131" s="172"/>
      <c r="D131" s="172"/>
      <c r="E131" s="172"/>
      <c r="F131" s="172"/>
      <c r="G131" s="172"/>
      <c r="H131" s="172"/>
      <c r="I131" s="172"/>
      <c r="J131" s="172"/>
      <c r="K131" s="172"/>
      <c r="L131" s="172"/>
      <c r="M131" s="172"/>
      <c r="N131" s="172"/>
      <c r="O131" s="172"/>
      <c r="Z131" s="1"/>
      <c r="AE131"/>
    </row>
  </sheetData>
  <mergeCells count="2">
    <mergeCell ref="B37:R37"/>
    <mergeCell ref="B47:R47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C6DFC0-158D-4E9D-ADDD-276D5D38611E}">
  <sheetPr>
    <tabColor rgb="FF336600"/>
  </sheetPr>
  <dimension ref="A3:A23"/>
  <sheetViews>
    <sheetView showGridLines="0" workbookViewId="0"/>
  </sheetViews>
  <sheetFormatPr baseColWidth="10" defaultRowHeight="15" x14ac:dyDescent="0.25"/>
  <sheetData>
    <row r="3" ht="15" customHeight="1" x14ac:dyDescent="0.25"/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</sheetData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2D9428-4621-401E-A2A5-0C4E08701289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34"/>
      <c r="H1" s="234"/>
      <c r="I1" s="234"/>
      <c r="K1" s="234"/>
    </row>
    <row r="3" spans="1:31" s="4" customFormat="1" ht="25.5" customHeight="1" thickBot="1" x14ac:dyDescent="0.3">
      <c r="B3" s="66" t="s">
        <v>306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2" t="s">
        <v>259</v>
      </c>
      <c r="D5" s="252" t="s">
        <v>260</v>
      </c>
      <c r="E5" s="252" t="s">
        <v>261</v>
      </c>
      <c r="F5" s="253" t="str">
        <f>CONCATENATE("%/s total Tenerife ",RIGHT(E5,4))</f>
        <v>%/s total Tenerife 2022</v>
      </c>
      <c r="G5" s="252" t="s">
        <v>262</v>
      </c>
      <c r="H5" s="253" t="str">
        <f>CONCATENATE("var. ",RIGHT(G5,2),"/",RIGHT(E5,2))</f>
        <v>var. 23/22</v>
      </c>
      <c r="I5" s="253" t="str">
        <f>CONCATENATE("dif. ",RIGHT(G5,2),"/",RIGHT(E5,2))</f>
        <v>dif. 23/22</v>
      </c>
      <c r="J5" s="253" t="str">
        <f>CONCATENATE("%/s total Tenerife ",RIGHT(G5,4))</f>
        <v>%/s total Tenerife 2023</v>
      </c>
      <c r="K5" s="252" t="s">
        <v>263</v>
      </c>
      <c r="L5" s="253" t="str">
        <f>CONCATENATE("var. ",RIGHT(K5,2),"/",RIGHT(G5,2))</f>
        <v>var. 24/23</v>
      </c>
      <c r="M5" s="253" t="str">
        <f>CONCATENATE("dif. ",RIGHT(K5,2),"/",RIGHT(G5,2))</f>
        <v>dif. 24/23</v>
      </c>
      <c r="N5" s="253" t="str">
        <f>CONCATENATE("%/s total Tenerife ",RIGHT(K5,4))</f>
        <v>%/s total Tenerife 2024</v>
      </c>
      <c r="O5" s="252" t="s">
        <v>264</v>
      </c>
      <c r="P5" s="253" t="str">
        <f>CONCATENATE("var. ",RIGHT(O5,2),"/",RIGHT(K5,2))</f>
        <v>var. 25/24</v>
      </c>
      <c r="Q5" s="253" t="str">
        <f>CONCATENATE("dif. ",RIGHT(O5,2),"/",RIGHT(K5,2))</f>
        <v>dif. 25/24</v>
      </c>
      <c r="R5" s="253" t="str">
        <f>CONCATENATE("var. ",RIGHT(O5,2),"/",RIGHT(C5,2))</f>
        <v>var. 25/20</v>
      </c>
      <c r="S5" s="253" t="str">
        <f>CONCATENATE("dif. ",RIGHT(O5,2),"/",RIGHT(C5,2))</f>
        <v>dif. 25/20</v>
      </c>
      <c r="T5" s="253" t="str">
        <f>CONCATENATE("%/s total Tenerife ",RIGHT(O5,4))</f>
        <v>%/s total Tenerife 2025</v>
      </c>
      <c r="AE5" s="1"/>
    </row>
    <row r="6" spans="1:31" ht="18.75" x14ac:dyDescent="0.3">
      <c r="A6" s="4"/>
      <c r="B6" s="235" t="s">
        <v>191</v>
      </c>
      <c r="C6" s="254">
        <v>26940</v>
      </c>
      <c r="D6" s="254">
        <v>38654</v>
      </c>
      <c r="E6" s="254">
        <v>62976</v>
      </c>
      <c r="F6" s="255">
        <f>E6/$E$6</f>
        <v>1</v>
      </c>
      <c r="G6" s="254">
        <v>76465</v>
      </c>
      <c r="H6" s="255">
        <f>G6/E6-1</f>
        <v>0.21419270833333326</v>
      </c>
      <c r="I6" s="254">
        <f>G6-E6</f>
        <v>13489</v>
      </c>
      <c r="J6" s="255">
        <f>G6/$G$6</f>
        <v>1</v>
      </c>
      <c r="K6" s="254">
        <v>75937</v>
      </c>
      <c r="L6" s="255">
        <f t="shared" ref="L6:L12" si="0">K6/G6-1</f>
        <v>-6.9051199895376891E-3</v>
      </c>
      <c r="M6" s="254">
        <f t="shared" ref="M6:M12" si="1">K6-G6</f>
        <v>-528</v>
      </c>
      <c r="N6" s="255">
        <f>K6/$K$6</f>
        <v>1</v>
      </c>
      <c r="O6" s="254">
        <v>87725</v>
      </c>
      <c r="P6" s="255">
        <f t="shared" ref="P6:P11" si="2">O6/K6-1</f>
        <v>0.1552339439272028</v>
      </c>
      <c r="Q6" s="254">
        <f t="shared" ref="Q6:Q12" si="3">O6-K6</f>
        <v>11788</v>
      </c>
      <c r="R6" s="255">
        <f>O6/C6-1</f>
        <v>2.2563103192279139</v>
      </c>
      <c r="S6" s="254">
        <f>O6-C6</f>
        <v>60785</v>
      </c>
      <c r="T6" s="255">
        <f>O6/$O$6</f>
        <v>1</v>
      </c>
      <c r="V6" s="29"/>
      <c r="W6" s="81"/>
      <c r="AE6" s="1" t="s">
        <v>175</v>
      </c>
    </row>
    <row r="7" spans="1:31" s="4" customFormat="1" x14ac:dyDescent="0.25">
      <c r="B7" s="256" t="s">
        <v>192</v>
      </c>
      <c r="C7" s="257">
        <v>26940</v>
      </c>
      <c r="D7" s="257">
        <v>38654</v>
      </c>
      <c r="E7" s="257">
        <v>62976</v>
      </c>
      <c r="F7" s="258">
        <f t="shared" ref="F7:F12" si="4">E7/$E$6</f>
        <v>1</v>
      </c>
      <c r="G7" s="257">
        <v>76465</v>
      </c>
      <c r="H7" s="259">
        <f>G7/E7-1</f>
        <v>0.21419270833333326</v>
      </c>
      <c r="I7" s="260">
        <f>G7-E7</f>
        <v>13489</v>
      </c>
      <c r="J7" s="258">
        <f>G7/$G$6</f>
        <v>1</v>
      </c>
      <c r="K7" s="257">
        <v>75937</v>
      </c>
      <c r="L7" s="261">
        <f t="shared" si="0"/>
        <v>-6.9051199895376891E-3</v>
      </c>
      <c r="M7" s="262">
        <f t="shared" si="1"/>
        <v>-528</v>
      </c>
      <c r="N7" s="258">
        <f>K7/$K$6</f>
        <v>1</v>
      </c>
      <c r="O7" s="257">
        <v>87725</v>
      </c>
      <c r="P7" s="259">
        <f t="shared" si="2"/>
        <v>0.1552339439272028</v>
      </c>
      <c r="Q7" s="260">
        <f t="shared" si="3"/>
        <v>11788</v>
      </c>
      <c r="R7" s="259">
        <f t="shared" ref="R7:R9" si="5">O7/C7-1</f>
        <v>2.2563103192279139</v>
      </c>
      <c r="S7" s="260">
        <f t="shared" ref="S7:S9" si="6">O7-C7</f>
        <v>60785</v>
      </c>
      <c r="T7" s="258">
        <f>O7/$O$6</f>
        <v>1</v>
      </c>
      <c r="V7" s="29"/>
      <c r="W7" s="81"/>
      <c r="AE7" s="1" t="s">
        <v>177</v>
      </c>
    </row>
    <row r="8" spans="1:31" s="4" customFormat="1" x14ac:dyDescent="0.25">
      <c r="B8" s="99" t="s">
        <v>64</v>
      </c>
      <c r="C8" s="263">
        <v>12262</v>
      </c>
      <c r="D8" s="263">
        <v>12367</v>
      </c>
      <c r="E8" s="263">
        <v>23012</v>
      </c>
      <c r="F8" s="264">
        <f t="shared" si="4"/>
        <v>0.36540904471544716</v>
      </c>
      <c r="G8" s="263">
        <v>31876</v>
      </c>
      <c r="H8" s="265">
        <f>IFERROR(G8/E8-1,"-")</f>
        <v>0.38519033547714243</v>
      </c>
      <c r="I8" s="266">
        <f t="shared" ref="I8:I12" si="7">G8-E8</f>
        <v>8864</v>
      </c>
      <c r="J8" s="264">
        <f t="shared" ref="J8:J12" si="8">G8/$G$6</f>
        <v>0.41687046361080232</v>
      </c>
      <c r="K8" s="263">
        <v>35095</v>
      </c>
      <c r="L8" s="267">
        <f>IFERROR(K8/G8-1,"-")</f>
        <v>0.10098506713514865</v>
      </c>
      <c r="M8" s="268">
        <f>IF(G8=0,"nd",K8-G8)</f>
        <v>3219</v>
      </c>
      <c r="N8" s="269">
        <f t="shared" ref="N8:N12" si="9">K8/$K$6</f>
        <v>0.46215942162582141</v>
      </c>
      <c r="O8" s="263">
        <v>30335</v>
      </c>
      <c r="P8" s="267">
        <f>IFERROR(O8/K8-1,"-")</f>
        <v>-0.13563185638979913</v>
      </c>
      <c r="Q8" s="270">
        <f t="shared" si="3"/>
        <v>-4760</v>
      </c>
      <c r="R8" s="267">
        <f>IFERROR(O8/C8-1,"-")</f>
        <v>1.473903115315609</v>
      </c>
      <c r="S8" s="270">
        <f t="shared" si="6"/>
        <v>18073</v>
      </c>
      <c r="T8" s="269">
        <f t="shared" ref="T8:T12" si="10">O8/$O$6</f>
        <v>0.3457965232259903</v>
      </c>
      <c r="V8" s="29"/>
      <c r="W8" s="81"/>
      <c r="AE8" s="1"/>
    </row>
    <row r="9" spans="1:31" s="4" customFormat="1" x14ac:dyDescent="0.25">
      <c r="B9" s="99" t="s">
        <v>63</v>
      </c>
      <c r="C9" s="263">
        <v>14678</v>
      </c>
      <c r="D9" s="263">
        <v>26287</v>
      </c>
      <c r="E9" s="263">
        <v>39964</v>
      </c>
      <c r="F9" s="269">
        <f t="shared" si="4"/>
        <v>0.63459095528455289</v>
      </c>
      <c r="G9" s="263">
        <v>44589</v>
      </c>
      <c r="H9" s="265">
        <f>IFERROR(G9/E9-1,"-")</f>
        <v>0.11572915624061664</v>
      </c>
      <c r="I9" s="270">
        <f t="shared" si="7"/>
        <v>4625</v>
      </c>
      <c r="J9" s="269">
        <f t="shared" si="8"/>
        <v>0.58312953638919762</v>
      </c>
      <c r="K9" s="263">
        <v>40842</v>
      </c>
      <c r="L9" s="267">
        <f>IFERROR(K9/G9-1,"-")</f>
        <v>-8.4034178833344519E-2</v>
      </c>
      <c r="M9" s="268">
        <f>IF(G9=0,"nd",K9-G9)</f>
        <v>-3747</v>
      </c>
      <c r="N9" s="269">
        <f t="shared" si="9"/>
        <v>0.53784057837417865</v>
      </c>
      <c r="O9" s="263">
        <v>57390</v>
      </c>
      <c r="P9" s="267">
        <f t="shared" si="2"/>
        <v>0.40517114734831794</v>
      </c>
      <c r="Q9" s="270">
        <f t="shared" si="3"/>
        <v>16548</v>
      </c>
      <c r="R9" s="271">
        <f t="shared" si="5"/>
        <v>2.9099332334105465</v>
      </c>
      <c r="S9" s="270">
        <f t="shared" si="6"/>
        <v>42712</v>
      </c>
      <c r="T9" s="269">
        <f t="shared" si="10"/>
        <v>0.6542034767740097</v>
      </c>
      <c r="V9" s="29"/>
      <c r="W9" s="81"/>
      <c r="AE9" s="1"/>
    </row>
    <row r="10" spans="1:31" s="4" customFormat="1" x14ac:dyDescent="0.25">
      <c r="B10" s="256" t="s">
        <v>193</v>
      </c>
      <c r="C10" s="272" t="str">
        <f t="shared" ref="C10:E10" si="11">IFERROR(B10/$E$6,"-")</f>
        <v>-</v>
      </c>
      <c r="D10" s="272" t="str">
        <f t="shared" si="11"/>
        <v>-</v>
      </c>
      <c r="E10" s="272" t="str">
        <f t="shared" si="11"/>
        <v>-</v>
      </c>
      <c r="F10" s="273" t="str">
        <f>IFERROR(E10/$E$6,"-")</f>
        <v>-</v>
      </c>
      <c r="G10" s="272" t="str">
        <f t="shared" ref="G10:T10" si="12">IFERROR(F10/$E$6,"-")</f>
        <v>-</v>
      </c>
      <c r="H10" s="261" t="str">
        <f t="shared" si="12"/>
        <v>-</v>
      </c>
      <c r="I10" s="262" t="str">
        <f t="shared" si="12"/>
        <v>-</v>
      </c>
      <c r="J10" s="273" t="str">
        <f t="shared" si="12"/>
        <v>-</v>
      </c>
      <c r="K10" s="272" t="str">
        <f t="shared" si="12"/>
        <v>-</v>
      </c>
      <c r="L10" s="261" t="str">
        <f t="shared" si="12"/>
        <v>-</v>
      </c>
      <c r="M10" s="262" t="str">
        <f t="shared" si="12"/>
        <v>-</v>
      </c>
      <c r="N10" s="273" t="str">
        <f t="shared" si="12"/>
        <v>-</v>
      </c>
      <c r="O10" s="272" t="str">
        <f t="shared" si="12"/>
        <v>-</v>
      </c>
      <c r="P10" s="261" t="str">
        <f t="shared" si="12"/>
        <v>-</v>
      </c>
      <c r="Q10" s="262" t="str">
        <f t="shared" si="12"/>
        <v>-</v>
      </c>
      <c r="R10" s="261" t="str">
        <f t="shared" si="12"/>
        <v>-</v>
      </c>
      <c r="S10" s="262" t="str">
        <f t="shared" si="12"/>
        <v>-</v>
      </c>
      <c r="T10" s="273" t="str">
        <f t="shared" si="12"/>
        <v>-</v>
      </c>
      <c r="V10" s="29"/>
      <c r="W10" s="81"/>
      <c r="AE10" s="1"/>
    </row>
    <row r="11" spans="1:31" s="4" customFormat="1" hidden="1" x14ac:dyDescent="0.25">
      <c r="B11" s="99" t="s">
        <v>64</v>
      </c>
      <c r="C11" s="263" t="e">
        <v>#REF!</v>
      </c>
      <c r="D11" s="263" t="e">
        <v>#REF!</v>
      </c>
      <c r="E11" s="263" t="e">
        <v>#REF!</v>
      </c>
      <c r="F11" s="269" t="e">
        <f t="shared" si="4"/>
        <v>#REF!</v>
      </c>
      <c r="G11" s="263" t="e">
        <v>#REF!</v>
      </c>
      <c r="H11" s="271" t="e">
        <f t="shared" ref="H11:H12" si="13">G11/E11-1</f>
        <v>#REF!</v>
      </c>
      <c r="I11" s="270" t="e">
        <f t="shared" si="7"/>
        <v>#REF!</v>
      </c>
      <c r="J11" s="269" t="e">
        <f t="shared" si="8"/>
        <v>#REF!</v>
      </c>
      <c r="K11" s="263" t="e">
        <v>#REF!</v>
      </c>
      <c r="L11" s="267" t="e">
        <f>K11/G11-1</f>
        <v>#REF!</v>
      </c>
      <c r="M11" s="270" t="e">
        <f t="shared" si="1"/>
        <v>#REF!</v>
      </c>
      <c r="N11" s="269" t="e">
        <f t="shared" si="9"/>
        <v>#REF!</v>
      </c>
      <c r="O11" s="263" t="e">
        <v>#REF!</v>
      </c>
      <c r="P11" s="271" t="e">
        <f t="shared" si="2"/>
        <v>#REF!</v>
      </c>
      <c r="Q11" s="270" t="e">
        <f t="shared" si="3"/>
        <v>#REF!</v>
      </c>
      <c r="R11" s="271" t="e">
        <f t="shared" ref="R11:R12" si="14">O11/D11-1</f>
        <v>#REF!</v>
      </c>
      <c r="S11" s="270" t="e">
        <f t="shared" ref="S11:S12" si="15">O11-D11</f>
        <v>#REF!</v>
      </c>
      <c r="T11" s="269" t="e">
        <f t="shared" si="10"/>
        <v>#REF!</v>
      </c>
      <c r="V11" s="29"/>
      <c r="W11" s="81"/>
      <c r="AE11" s="1"/>
    </row>
    <row r="12" spans="1:31" s="4" customFormat="1" hidden="1" x14ac:dyDescent="0.25">
      <c r="B12" s="99" t="s">
        <v>63</v>
      </c>
      <c r="C12" s="263" t="e">
        <v>#REF!</v>
      </c>
      <c r="D12" s="263" t="e">
        <v>#REF!</v>
      </c>
      <c r="E12" s="263" t="e">
        <v>#REF!</v>
      </c>
      <c r="F12" s="269" t="e">
        <f t="shared" si="4"/>
        <v>#REF!</v>
      </c>
      <c r="G12" s="263" t="e">
        <v>#REF!</v>
      </c>
      <c r="H12" s="271" t="e">
        <f t="shared" si="13"/>
        <v>#REF!</v>
      </c>
      <c r="I12" s="270" t="e">
        <f t="shared" si="7"/>
        <v>#REF!</v>
      </c>
      <c r="J12" s="269" t="e">
        <f t="shared" si="8"/>
        <v>#REF!</v>
      </c>
      <c r="K12" s="263" t="e">
        <v>#REF!</v>
      </c>
      <c r="L12" s="267" t="e">
        <f t="shared" si="0"/>
        <v>#REF!</v>
      </c>
      <c r="M12" s="270" t="e">
        <f t="shared" si="1"/>
        <v>#REF!</v>
      </c>
      <c r="N12" s="269" t="e">
        <f t="shared" si="9"/>
        <v>#REF!</v>
      </c>
      <c r="O12" s="263" t="e">
        <v>#REF!</v>
      </c>
      <c r="P12" s="271" t="e">
        <f>O12/K12-1</f>
        <v>#REF!</v>
      </c>
      <c r="Q12" s="270" t="e">
        <f t="shared" si="3"/>
        <v>#REF!</v>
      </c>
      <c r="R12" s="271" t="e">
        <f t="shared" si="14"/>
        <v>#REF!</v>
      </c>
      <c r="S12" s="270" t="e">
        <f t="shared" si="15"/>
        <v>#REF!</v>
      </c>
      <c r="T12" s="269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7"/>
      <c r="C13" s="247"/>
      <c r="D13" s="247"/>
      <c r="E13" s="247"/>
      <c r="F13" s="247"/>
      <c r="G13" s="247"/>
      <c r="H13" s="247"/>
      <c r="I13" s="247"/>
      <c r="J13" s="247"/>
      <c r="K13" s="247"/>
      <c r="L13" s="274"/>
      <c r="M13" s="247"/>
      <c r="N13" s="247"/>
      <c r="O13" s="247"/>
      <c r="P13" s="247"/>
      <c r="Q13" s="247"/>
      <c r="R13" s="247"/>
      <c r="S13" s="247"/>
      <c r="T13" s="247"/>
      <c r="AE13" s="1" t="s">
        <v>182</v>
      </c>
    </row>
    <row r="14" spans="1:31" s="4" customFormat="1" x14ac:dyDescent="0.25">
      <c r="B14" s="172" t="s">
        <v>183</v>
      </c>
      <c r="C14" s="172"/>
      <c r="D14" s="172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AE14" s="1" t="s">
        <v>184</v>
      </c>
    </row>
    <row r="15" spans="1:31" s="4" customFormat="1" x14ac:dyDescent="0.25">
      <c r="AE15" s="1"/>
    </row>
    <row r="18" spans="1:27" x14ac:dyDescent="0.25">
      <c r="A18" t="s">
        <v>194</v>
      </c>
    </row>
    <row r="19" spans="1:27" x14ac:dyDescent="0.25">
      <c r="AA19" t="str">
        <f>CONCATENATE("Hoteles: 
",FIXED(O7,0)," viajeros 
cuota: ",FIXED(T7*100,1),"%")</f>
        <v>Hoteles: 
87.725 viajeros 
cuota: 100,0%</v>
      </c>
    </row>
    <row r="20" spans="1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78" t="s">
        <v>185</v>
      </c>
      <c r="C38" s="278"/>
      <c r="D38" s="278"/>
      <c r="E38" s="278"/>
      <c r="F38" s="278"/>
      <c r="G38" s="278"/>
      <c r="H38" s="278"/>
      <c r="I38" s="278"/>
      <c r="J38" s="278"/>
      <c r="K38" s="278"/>
      <c r="L38" s="278"/>
      <c r="M38" s="278"/>
      <c r="N38" s="278"/>
      <c r="O38" s="278"/>
      <c r="P38" s="278"/>
      <c r="Q38" s="278"/>
      <c r="R38" s="278"/>
      <c r="S38" s="278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9"/>
      <c r="AE40" s="1"/>
    </row>
    <row r="41" spans="2:31" s="4" customFormat="1" ht="18.75" hidden="1" x14ac:dyDescent="0.3">
      <c r="B41" s="235" t="s">
        <v>173</v>
      </c>
      <c r="C41" s="236"/>
      <c r="D41" s="236"/>
      <c r="E41" s="236"/>
      <c r="F41" s="236"/>
      <c r="G41" s="236"/>
      <c r="H41" s="236"/>
      <c r="I41" s="236"/>
      <c r="J41" s="236"/>
      <c r="K41" s="236">
        <v>1824653</v>
      </c>
      <c r="L41" s="236"/>
      <c r="M41" s="236"/>
      <c r="N41" s="237"/>
      <c r="O41" s="236">
        <v>2354005</v>
      </c>
      <c r="P41" s="237"/>
      <c r="Q41" s="237">
        <v>1</v>
      </c>
      <c r="R41" s="237">
        <v>0.2901110512519367</v>
      </c>
      <c r="S41" s="236">
        <v>529352</v>
      </c>
      <c r="T41" s="248"/>
      <c r="AE41" s="1"/>
    </row>
    <row r="42" spans="2:31" ht="18.75" hidden="1" x14ac:dyDescent="0.3">
      <c r="B42" s="235" t="s">
        <v>174</v>
      </c>
      <c r="C42" s="236"/>
      <c r="D42" s="236"/>
      <c r="E42" s="236"/>
      <c r="F42" s="236"/>
      <c r="G42" s="236"/>
      <c r="H42" s="236"/>
      <c r="I42" s="236"/>
      <c r="J42" s="236"/>
      <c r="K42" s="236">
        <v>603938</v>
      </c>
      <c r="L42" s="236"/>
      <c r="M42" s="236"/>
      <c r="N42" s="237">
        <v>1</v>
      </c>
      <c r="O42" s="236">
        <v>936181</v>
      </c>
      <c r="P42" s="237">
        <v>1</v>
      </c>
      <c r="Q42" s="237">
        <v>0.39769711619134201</v>
      </c>
      <c r="R42" s="237">
        <v>0.55012766211101138</v>
      </c>
      <c r="S42" s="236">
        <v>332243</v>
      </c>
      <c r="T42" s="248"/>
      <c r="AE42" s="1" t="s">
        <v>175</v>
      </c>
    </row>
    <row r="43" spans="2:31" ht="15.75" hidden="1" x14ac:dyDescent="0.25">
      <c r="B43" s="238" t="s">
        <v>102</v>
      </c>
      <c r="C43" s="239"/>
      <c r="D43" s="239"/>
      <c r="E43" s="239"/>
      <c r="F43" s="239"/>
      <c r="G43" s="239"/>
      <c r="H43" s="239"/>
      <c r="I43" s="239"/>
      <c r="J43" s="239"/>
      <c r="K43" s="239">
        <v>276550.36166633503</v>
      </c>
      <c r="L43" s="239"/>
      <c r="M43" s="239"/>
      <c r="N43" s="240">
        <v>0.45791184139155844</v>
      </c>
      <c r="O43" s="239">
        <v>430252.45635520399</v>
      </c>
      <c r="P43" s="240">
        <v>0.4595825554622493</v>
      </c>
      <c r="Q43" s="240">
        <v>0.18277465695918402</v>
      </c>
      <c r="R43" s="240">
        <v>0.55578337978930015</v>
      </c>
      <c r="S43" s="239">
        <v>153702.09468886897</v>
      </c>
      <c r="T43" s="249"/>
      <c r="AE43" s="1" t="s">
        <v>176</v>
      </c>
    </row>
    <row r="44" spans="2:31" s="4" customFormat="1" hidden="1" x14ac:dyDescent="0.25">
      <c r="B44" s="241" t="s">
        <v>105</v>
      </c>
      <c r="C44" s="242"/>
      <c r="D44" s="242"/>
      <c r="E44" s="242"/>
      <c r="F44" s="242"/>
      <c r="G44" s="242"/>
      <c r="H44" s="242"/>
      <c r="I44" s="242"/>
      <c r="J44" s="242"/>
      <c r="K44" s="242">
        <v>327387.63833385095</v>
      </c>
      <c r="L44" s="242"/>
      <c r="M44" s="242"/>
      <c r="N44" s="245">
        <v>0.54208815860874948</v>
      </c>
      <c r="O44" s="242">
        <v>505927.5436448183</v>
      </c>
      <c r="P44" s="245">
        <v>0.54041637636826456</v>
      </c>
      <c r="Q44" s="245">
        <v>0.21492203442423372</v>
      </c>
      <c r="R44" s="243">
        <v>0.54534711884540576</v>
      </c>
      <c r="S44" s="244">
        <v>178539.90531096736</v>
      </c>
      <c r="T44" s="251"/>
      <c r="AE44" s="1" t="s">
        <v>177</v>
      </c>
    </row>
    <row r="45" spans="2:31" s="4" customFormat="1" hidden="1" x14ac:dyDescent="0.25">
      <c r="B45" s="246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46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47"/>
      <c r="C47" s="247"/>
      <c r="D47" s="247"/>
      <c r="E47" s="247"/>
      <c r="F47" s="247"/>
      <c r="G47" s="247"/>
      <c r="H47" s="247"/>
      <c r="I47" s="247"/>
      <c r="J47" s="247"/>
      <c r="K47" s="247"/>
      <c r="L47" s="247"/>
      <c r="M47" s="247"/>
      <c r="N47" s="247"/>
      <c r="O47" s="247"/>
      <c r="P47" s="247"/>
      <c r="Q47" s="247"/>
      <c r="R47" s="247"/>
      <c r="S47" s="247"/>
      <c r="AE47" s="1" t="s">
        <v>182</v>
      </c>
    </row>
    <row r="48" spans="2:31" s="4" customFormat="1" hidden="1" x14ac:dyDescent="0.25">
      <c r="B48" s="296" t="s">
        <v>183</v>
      </c>
      <c r="C48" s="296"/>
      <c r="D48" s="296"/>
      <c r="E48" s="296"/>
      <c r="F48" s="296"/>
      <c r="G48" s="296"/>
      <c r="H48" s="296"/>
      <c r="I48" s="296"/>
      <c r="J48" s="296"/>
      <c r="K48" s="296"/>
      <c r="L48" s="296"/>
      <c r="M48" s="296"/>
      <c r="N48" s="296"/>
      <c r="O48" s="296"/>
      <c r="P48" s="296"/>
      <c r="Q48" s="296"/>
      <c r="R48" s="296"/>
      <c r="S48" s="296"/>
      <c r="T48" s="49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6"/>
      <c r="D50" s="126"/>
      <c r="E50" s="126"/>
      <c r="F50" s="126"/>
      <c r="G50" s="126"/>
      <c r="H50" s="126"/>
      <c r="I50" s="126"/>
      <c r="J50" s="126"/>
      <c r="K50" s="126">
        <v>0.54208815860874948</v>
      </c>
      <c r="L50" s="126"/>
      <c r="M50" s="126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195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6">
        <v>2020</v>
      </c>
      <c r="D133" s="186">
        <v>2021</v>
      </c>
      <c r="E133" s="186">
        <v>2022</v>
      </c>
      <c r="F133" s="186">
        <v>2023</v>
      </c>
      <c r="G133" s="174" t="str">
        <f>CONCATENATE("var. ",RIGHT(F133,2),"/",RIGHT(E133,2))</f>
        <v>var. 23/22</v>
      </c>
      <c r="H133" s="174" t="str">
        <f>CONCATENATE("dif. ",RIGHT(F133,2),"/",RIGHT(E133,2))</f>
        <v>dif. 23/22</v>
      </c>
      <c r="I133" s="253" t="str">
        <f>CONCATENATE("%/s total Tenerife ",RIGHT(F133,4))</f>
        <v>%/s total Tenerife 2023</v>
      </c>
      <c r="J133" s="186">
        <v>2024</v>
      </c>
      <c r="K133" s="253" t="str">
        <f>CONCATENATE("%/s total Tenerife ",RIGHT(J133,4))</f>
        <v>%/s total Tenerife 2024</v>
      </c>
      <c r="L133" s="174" t="str">
        <f>CONCATENATE("var. ",RIGHT(J133,2),"/",RIGHT(F133,2))</f>
        <v>var. 24/23</v>
      </c>
      <c r="M133" s="174" t="str">
        <f>CONCATENATE("dif. ",RIGHT(J133,2),"/",RIGHT(F133,2))</f>
        <v>dif. 24/23</v>
      </c>
      <c r="N133" s="174" t="str">
        <f>CONCATENATE("var. ",RIGHT(J133,2),"/",RIGHT(D133,2))</f>
        <v>var. 24/21</v>
      </c>
      <c r="O133" s="174" t="str">
        <f>CONCATENATE("dif. ",RIGHT(J133,2),"/",RIGHT(D133,2))</f>
        <v>dif. 24/21</v>
      </c>
      <c r="Z133" s="1"/>
    </row>
    <row r="134" spans="1:31" ht="18.75" x14ac:dyDescent="0.3">
      <c r="A134" s="4"/>
      <c r="B134" s="235" t="s">
        <v>191</v>
      </c>
      <c r="C134" s="254">
        <v>26940</v>
      </c>
      <c r="D134" s="239">
        <v>51310</v>
      </c>
      <c r="E134" s="239">
        <v>65021</v>
      </c>
      <c r="F134" s="239">
        <v>80309</v>
      </c>
      <c r="G134" s="240">
        <f>F134/E134-1</f>
        <v>0.23512403684963323</v>
      </c>
      <c r="H134" s="239">
        <f>F134-E134</f>
        <v>15288</v>
      </c>
      <c r="I134" s="240">
        <f>F134/F$134</f>
        <v>1</v>
      </c>
      <c r="J134" s="239">
        <v>80773</v>
      </c>
      <c r="K134" s="240">
        <f>J134/J$134</f>
        <v>1</v>
      </c>
      <c r="L134" s="240">
        <f>J134/F134-1</f>
        <v>5.7776836967213807E-3</v>
      </c>
      <c r="M134" s="239">
        <f>J134-F134</f>
        <v>464</v>
      </c>
      <c r="N134" s="240">
        <f>J134/D134-1</f>
        <v>0.57421555252387457</v>
      </c>
      <c r="O134" s="239">
        <f>J134-D134</f>
        <v>29463</v>
      </c>
      <c r="Q134" s="29"/>
      <c r="R134" s="81"/>
      <c r="Z134" s="1" t="s">
        <v>175</v>
      </c>
      <c r="AE134"/>
    </row>
    <row r="135" spans="1:31" s="4" customFormat="1" x14ac:dyDescent="0.25">
      <c r="B135" s="256" t="s">
        <v>192</v>
      </c>
      <c r="C135" s="257">
        <v>26940</v>
      </c>
      <c r="D135" s="257">
        <v>51310</v>
      </c>
      <c r="E135" s="257">
        <v>65021</v>
      </c>
      <c r="F135" s="257">
        <v>80309</v>
      </c>
      <c r="G135" s="261">
        <f>IFERROR(F135/E135-1,"-")</f>
        <v>0.23512403684963323</v>
      </c>
      <c r="H135" s="257">
        <f t="shared" ref="H135:H138" si="16">F135-E135</f>
        <v>15288</v>
      </c>
      <c r="I135" s="259">
        <f>F135/F$134</f>
        <v>1</v>
      </c>
      <c r="J135" s="257">
        <v>80773</v>
      </c>
      <c r="K135" s="258">
        <f t="shared" ref="K135:K138" si="17">J135/J$134</f>
        <v>1</v>
      </c>
      <c r="L135" s="259">
        <f t="shared" ref="L135:L138" si="18">J135/F135-1</f>
        <v>5.7776836967213807E-3</v>
      </c>
      <c r="M135" s="260">
        <f t="shared" ref="M135:M138" si="19">J135-F135</f>
        <v>464</v>
      </c>
      <c r="N135" s="258">
        <f t="shared" ref="N135:N138" si="20">J135/D135-1</f>
        <v>0.57421555252387457</v>
      </c>
      <c r="O135" s="257">
        <f t="shared" ref="O135:O138" si="21">J135-D135</f>
        <v>29463</v>
      </c>
      <c r="Q135" s="29"/>
      <c r="R135" s="81"/>
      <c r="Z135" s="1" t="s">
        <v>177</v>
      </c>
    </row>
    <row r="136" spans="1:31" s="4" customFormat="1" x14ac:dyDescent="0.25">
      <c r="B136" s="99" t="s">
        <v>64</v>
      </c>
      <c r="C136" s="263">
        <v>12262</v>
      </c>
      <c r="D136" s="263">
        <v>17131</v>
      </c>
      <c r="E136" s="263">
        <v>22240</v>
      </c>
      <c r="F136" s="263">
        <v>31283</v>
      </c>
      <c r="G136" s="267">
        <f t="shared" ref="G136:G138" si="22">IFERROR(F136/E136-1,"-")</f>
        <v>0.40660971223021591</v>
      </c>
      <c r="H136" s="263">
        <f t="shared" si="16"/>
        <v>9043</v>
      </c>
      <c r="I136" s="271">
        <f t="shared" ref="I136:I138" si="23">F136/F$134</f>
        <v>0.38953292906149994</v>
      </c>
      <c r="J136" s="263">
        <v>28362</v>
      </c>
      <c r="K136" s="269">
        <f t="shared" si="17"/>
        <v>0.35113218525992596</v>
      </c>
      <c r="L136" s="271">
        <f t="shared" si="18"/>
        <v>-9.337339769203723E-2</v>
      </c>
      <c r="M136" s="270">
        <f t="shared" si="19"/>
        <v>-2921</v>
      </c>
      <c r="N136" s="269">
        <f t="shared" si="20"/>
        <v>0.65559511995797104</v>
      </c>
      <c r="O136" s="263">
        <f t="shared" si="21"/>
        <v>11231</v>
      </c>
      <c r="Q136" s="29"/>
      <c r="R136" s="81"/>
      <c r="Z136" s="1"/>
    </row>
    <row r="137" spans="1:31" s="4" customFormat="1" x14ac:dyDescent="0.25">
      <c r="B137" s="99" t="s">
        <v>63</v>
      </c>
      <c r="C137" s="263">
        <v>21691</v>
      </c>
      <c r="D137" s="263">
        <v>34179</v>
      </c>
      <c r="E137" s="263">
        <v>42781</v>
      </c>
      <c r="F137" s="263">
        <v>49026</v>
      </c>
      <c r="G137" s="265">
        <f t="shared" si="22"/>
        <v>0.14597601739089794</v>
      </c>
      <c r="H137" s="263">
        <f t="shared" si="16"/>
        <v>6245</v>
      </c>
      <c r="I137" s="275">
        <f t="shared" si="23"/>
        <v>0.61046707093850006</v>
      </c>
      <c r="J137" s="263">
        <v>52411</v>
      </c>
      <c r="K137" s="269">
        <f t="shared" si="17"/>
        <v>0.64886781474007404</v>
      </c>
      <c r="L137" s="271">
        <f t="shared" si="18"/>
        <v>6.9044996532452219E-2</v>
      </c>
      <c r="M137" s="270">
        <f t="shared" si="19"/>
        <v>3385</v>
      </c>
      <c r="N137" s="269">
        <f t="shared" si="20"/>
        <v>0.53342695807367102</v>
      </c>
      <c r="O137" s="263">
        <f t="shared" si="21"/>
        <v>18232</v>
      </c>
      <c r="Q137" s="29"/>
      <c r="R137" s="81"/>
      <c r="Z137" s="1"/>
    </row>
    <row r="138" spans="1:31" s="4" customFormat="1" x14ac:dyDescent="0.25">
      <c r="B138" s="256" t="s">
        <v>193</v>
      </c>
      <c r="C138" s="257" t="e">
        <v>#REF!</v>
      </c>
      <c r="D138" s="257" t="e">
        <v>#REF!</v>
      </c>
      <c r="E138" s="257" t="e">
        <v>#REF!</v>
      </c>
      <c r="F138" s="257" t="e">
        <v>#REF!</v>
      </c>
      <c r="G138" s="261" t="str">
        <f t="shared" si="22"/>
        <v>-</v>
      </c>
      <c r="H138" s="257" t="e">
        <f t="shared" si="16"/>
        <v>#REF!</v>
      </c>
      <c r="I138" s="259" t="e">
        <f t="shared" si="23"/>
        <v>#REF!</v>
      </c>
      <c r="J138" s="257" t="e">
        <v>#REF!</v>
      </c>
      <c r="K138" s="258" t="e">
        <f t="shared" si="17"/>
        <v>#REF!</v>
      </c>
      <c r="L138" s="259" t="e">
        <f t="shared" si="18"/>
        <v>#REF!</v>
      </c>
      <c r="M138" s="260" t="e">
        <f t="shared" si="19"/>
        <v>#REF!</v>
      </c>
      <c r="N138" s="258" t="e">
        <f t="shared" si="20"/>
        <v>#REF!</v>
      </c>
      <c r="O138" s="257" t="e">
        <f t="shared" si="21"/>
        <v>#REF!</v>
      </c>
      <c r="Q138" s="29"/>
      <c r="R138" s="81"/>
      <c r="Z138" s="1"/>
    </row>
    <row r="139" spans="1:31" s="4" customFormat="1" ht="7.5" customHeight="1" x14ac:dyDescent="0.25">
      <c r="B139" s="247"/>
      <c r="C139" s="247"/>
      <c r="D139" s="247"/>
      <c r="E139" s="247"/>
      <c r="F139" s="247"/>
      <c r="G139" s="247"/>
      <c r="H139" s="247"/>
      <c r="I139" s="247"/>
      <c r="J139" s="247"/>
      <c r="K139" s="247"/>
      <c r="L139" s="247"/>
      <c r="M139" s="247"/>
      <c r="N139" s="247"/>
      <c r="O139" s="247"/>
      <c r="Z139" s="1" t="s">
        <v>182</v>
      </c>
    </row>
    <row r="140" spans="1:31" s="4" customFormat="1" ht="32.25" customHeight="1" x14ac:dyDescent="0.25">
      <c r="B140" s="319" t="s">
        <v>196</v>
      </c>
      <c r="C140" s="319"/>
      <c r="D140" s="319"/>
      <c r="E140" s="319"/>
      <c r="F140" s="319"/>
      <c r="G140" s="319"/>
      <c r="H140" s="319"/>
      <c r="I140" s="319"/>
      <c r="J140" s="319"/>
      <c r="K140" s="319"/>
      <c r="L140" s="319"/>
      <c r="M140" s="319"/>
      <c r="N140" s="319"/>
      <c r="O140" s="319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59F822-45FF-4812-ACEF-26D1FC0891BD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34"/>
      <c r="H1" s="234"/>
      <c r="I1" s="234"/>
      <c r="K1" s="234"/>
    </row>
    <row r="3" spans="1:31" s="4" customFormat="1" ht="25.5" customHeight="1" thickBot="1" x14ac:dyDescent="0.3">
      <c r="B3" s="66" t="s">
        <v>307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2" t="s">
        <v>259</v>
      </c>
      <c r="D5" s="252" t="s">
        <v>260</v>
      </c>
      <c r="E5" s="252" t="s">
        <v>261</v>
      </c>
      <c r="F5" s="253" t="str">
        <f>CONCATENATE("%/s total Tenerife ",RIGHT(E5,4))</f>
        <v>%/s total Tenerife 2022</v>
      </c>
      <c r="G5" s="252" t="s">
        <v>262</v>
      </c>
      <c r="H5" s="253" t="str">
        <f>CONCATENATE("var. ",RIGHT(G5,2),"/",RIGHT(E5,2))</f>
        <v>var. 23/22</v>
      </c>
      <c r="I5" s="253" t="str">
        <f>CONCATENATE("dif. ",RIGHT(G5,2),"/",RIGHT(E5,2))</f>
        <v>dif. 23/22</v>
      </c>
      <c r="J5" s="253" t="str">
        <f>CONCATENATE("%/s total Tenerife ",RIGHT(G5,4))</f>
        <v>%/s total Tenerife 2023</v>
      </c>
      <c r="K5" s="252" t="s">
        <v>263</v>
      </c>
      <c r="L5" s="253" t="str">
        <f>CONCATENATE("var. ",RIGHT(K5,2),"/",RIGHT(G5,2))</f>
        <v>var. 24/23</v>
      </c>
      <c r="M5" s="253" t="str">
        <f>CONCATENATE("dif. ",RIGHT(K5,2),"/",RIGHT(G5,2))</f>
        <v>dif. 24/23</v>
      </c>
      <c r="N5" s="253" t="str">
        <f>CONCATENATE("%/s total Tenerife ",RIGHT(K5,4))</f>
        <v>%/s total Tenerife 2024</v>
      </c>
      <c r="O5" s="252" t="s">
        <v>264</v>
      </c>
      <c r="P5" s="253" t="str">
        <f>CONCATENATE("var. ",RIGHT(O5,2),"/",RIGHT(K5,2))</f>
        <v>var. 25/24</v>
      </c>
      <c r="Q5" s="253" t="str">
        <f>CONCATENATE("dif. ",RIGHT(O5,2),"/",RIGHT(K5,2))</f>
        <v>dif. 25/24</v>
      </c>
      <c r="R5" s="253" t="str">
        <f>CONCATENATE("var. ",RIGHT(O5,2),"/",RIGHT(C5,2))</f>
        <v>var. 25/20</v>
      </c>
      <c r="S5" s="253" t="str">
        <f>CONCATENATE("dif. ",RIGHT(O5,2),"/",RIGHT(C5,2))</f>
        <v>dif. 25/20</v>
      </c>
      <c r="T5" s="253" t="str">
        <f>CONCATENATE("%/s total Tenerife ",RIGHT(O5,4))</f>
        <v>%/s total Tenerife 2025</v>
      </c>
      <c r="AE5" s="1"/>
    </row>
    <row r="6" spans="1:31" ht="18.75" x14ac:dyDescent="0.3">
      <c r="A6" s="4"/>
      <c r="B6" s="235" t="s">
        <v>197</v>
      </c>
      <c r="C6" s="254">
        <v>13225</v>
      </c>
      <c r="D6" s="254">
        <v>17793</v>
      </c>
      <c r="E6" s="254">
        <v>31462</v>
      </c>
      <c r="F6" s="255">
        <f>E6/$E$6</f>
        <v>1</v>
      </c>
      <c r="G6" s="254">
        <v>40904</v>
      </c>
      <c r="H6" s="255">
        <f>G6/E6-1</f>
        <v>0.30010806687432456</v>
      </c>
      <c r="I6" s="254">
        <f>G6-E6</f>
        <v>9442</v>
      </c>
      <c r="J6" s="255">
        <f>G6/$G$6</f>
        <v>1</v>
      </c>
      <c r="K6" s="254">
        <v>41828</v>
      </c>
      <c r="L6" s="255">
        <f t="shared" ref="L6:L12" si="0">K6/G6-1</f>
        <v>2.2589477801681968E-2</v>
      </c>
      <c r="M6" s="254">
        <f t="shared" ref="M6:M12" si="1">K6-G6</f>
        <v>924</v>
      </c>
      <c r="N6" s="255">
        <f>K6/$K$6</f>
        <v>1</v>
      </c>
      <c r="O6" s="254">
        <v>43681</v>
      </c>
      <c r="P6" s="255">
        <f t="shared" ref="P6:P11" si="2">O6/K6-1</f>
        <v>4.4300468585636521E-2</v>
      </c>
      <c r="Q6" s="254">
        <f t="shared" ref="Q6:Q12" si="3">O6-K6</f>
        <v>1853</v>
      </c>
      <c r="R6" s="255">
        <f>O6/C6-1</f>
        <v>2.3029111531190924</v>
      </c>
      <c r="S6" s="254">
        <f>O6-C6</f>
        <v>30456</v>
      </c>
      <c r="T6" s="255">
        <f>O6/$O$6</f>
        <v>1</v>
      </c>
      <c r="V6" s="29"/>
      <c r="W6" s="81"/>
      <c r="AE6" s="1" t="s">
        <v>175</v>
      </c>
    </row>
    <row r="7" spans="1:31" s="4" customFormat="1" x14ac:dyDescent="0.25">
      <c r="B7" s="256" t="s">
        <v>192</v>
      </c>
      <c r="C7" s="257">
        <v>13225</v>
      </c>
      <c r="D7" s="257">
        <v>17793</v>
      </c>
      <c r="E7" s="257">
        <v>31462</v>
      </c>
      <c r="F7" s="258">
        <f t="shared" ref="F7:F12" si="4">E7/$E$6</f>
        <v>1</v>
      </c>
      <c r="G7" s="257">
        <v>40904</v>
      </c>
      <c r="H7" s="259">
        <f>G7/E7-1</f>
        <v>0.30010806687432456</v>
      </c>
      <c r="I7" s="260">
        <f>G7-E7</f>
        <v>9442</v>
      </c>
      <c r="J7" s="258">
        <f>G7/$G$6</f>
        <v>1</v>
      </c>
      <c r="K7" s="257">
        <v>41828</v>
      </c>
      <c r="L7" s="261">
        <f t="shared" si="0"/>
        <v>2.2589477801681968E-2</v>
      </c>
      <c r="M7" s="262">
        <f t="shared" si="1"/>
        <v>924</v>
      </c>
      <c r="N7" s="258">
        <f>K7/$K$6</f>
        <v>1</v>
      </c>
      <c r="O7" s="257">
        <v>43681</v>
      </c>
      <c r="P7" s="259">
        <f t="shared" si="2"/>
        <v>4.4300468585636521E-2</v>
      </c>
      <c r="Q7" s="260">
        <f t="shared" si="3"/>
        <v>1853</v>
      </c>
      <c r="R7" s="259">
        <f t="shared" ref="R7:R10" si="5">O7/C7-1</f>
        <v>2.3029111531190924</v>
      </c>
      <c r="S7" s="260">
        <f t="shared" ref="S7:S10" si="6">O7-C7</f>
        <v>30456</v>
      </c>
      <c r="T7" s="258">
        <f>O7/$O$6</f>
        <v>1</v>
      </c>
      <c r="V7" s="29"/>
      <c r="W7" s="81"/>
      <c r="AE7" s="1" t="s">
        <v>177</v>
      </c>
    </row>
    <row r="8" spans="1:31" s="4" customFormat="1" x14ac:dyDescent="0.25">
      <c r="B8" s="99" t="s">
        <v>64</v>
      </c>
      <c r="C8" s="263">
        <v>5812</v>
      </c>
      <c r="D8" s="263">
        <v>6039</v>
      </c>
      <c r="E8" s="263">
        <v>10355</v>
      </c>
      <c r="F8" s="264">
        <f t="shared" si="4"/>
        <v>0.32912720106795501</v>
      </c>
      <c r="G8" s="263">
        <v>17457</v>
      </c>
      <c r="H8" s="265">
        <f>IFERROR(G8/E8-1,"-")</f>
        <v>0.6858522452921294</v>
      </c>
      <c r="I8" s="266">
        <f t="shared" ref="I8:I12" si="7">G8-E8</f>
        <v>7102</v>
      </c>
      <c r="J8" s="264">
        <f t="shared" ref="J8:J12" si="8">G8/$G$6</f>
        <v>0.42677977703892039</v>
      </c>
      <c r="K8" s="263">
        <v>15604</v>
      </c>
      <c r="L8" s="267">
        <f>IFERROR(K8/G8-1,"-")</f>
        <v>-0.10614653147734432</v>
      </c>
      <c r="M8" s="268">
        <f>IF(G8=0,"nd",K8-G8)</f>
        <v>-1853</v>
      </c>
      <c r="N8" s="269">
        <f t="shared" ref="N8:N12" si="9">K8/$K$6</f>
        <v>0.37305154442000577</v>
      </c>
      <c r="O8" s="263">
        <v>12716</v>
      </c>
      <c r="P8" s="267">
        <f>IFERROR(O8/K8-1,"-")</f>
        <v>-0.18508074852601897</v>
      </c>
      <c r="Q8" s="270">
        <f t="shared" si="3"/>
        <v>-2888</v>
      </c>
      <c r="R8" s="267">
        <f>IFERROR(O8/C8-1,"-")</f>
        <v>1.1878871300757052</v>
      </c>
      <c r="S8" s="270">
        <f t="shared" si="6"/>
        <v>6904</v>
      </c>
      <c r="T8" s="269">
        <f t="shared" ref="T8:T12" si="10">O8/$O$6</f>
        <v>0.29111055149836312</v>
      </c>
      <c r="V8" s="29"/>
      <c r="W8" s="81"/>
      <c r="AE8" s="1"/>
    </row>
    <row r="9" spans="1:31" s="4" customFormat="1" x14ac:dyDescent="0.25">
      <c r="B9" s="99" t="s">
        <v>63</v>
      </c>
      <c r="C9" s="263">
        <v>7413</v>
      </c>
      <c r="D9" s="263">
        <v>11754</v>
      </c>
      <c r="E9" s="263">
        <v>21107</v>
      </c>
      <c r="F9" s="269">
        <f t="shared" si="4"/>
        <v>0.67087279893204499</v>
      </c>
      <c r="G9" s="263">
        <v>23447</v>
      </c>
      <c r="H9" s="265">
        <f>IFERROR(G9/E9-1,"-")</f>
        <v>0.11086369450893074</v>
      </c>
      <c r="I9" s="270">
        <f t="shared" si="7"/>
        <v>2340</v>
      </c>
      <c r="J9" s="269">
        <f t="shared" si="8"/>
        <v>0.57322022296107955</v>
      </c>
      <c r="K9" s="263">
        <v>26224</v>
      </c>
      <c r="L9" s="267">
        <f>IFERROR(K9/G9-1,"-")</f>
        <v>0.11843732673689589</v>
      </c>
      <c r="M9" s="268">
        <f>IF(G9=0,"nd",K9-G9)</f>
        <v>2777</v>
      </c>
      <c r="N9" s="269">
        <f t="shared" si="9"/>
        <v>0.62694845557999423</v>
      </c>
      <c r="O9" s="263">
        <v>30965</v>
      </c>
      <c r="P9" s="267">
        <f t="shared" si="2"/>
        <v>0.18078859060402674</v>
      </c>
      <c r="Q9" s="270">
        <f t="shared" si="3"/>
        <v>4741</v>
      </c>
      <c r="R9" s="271">
        <f t="shared" si="5"/>
        <v>3.1771212734385541</v>
      </c>
      <c r="S9" s="270">
        <f t="shared" si="6"/>
        <v>23552</v>
      </c>
      <c r="T9" s="269">
        <f t="shared" si="10"/>
        <v>0.70888944850163682</v>
      </c>
      <c r="V9" s="29"/>
      <c r="W9" s="81"/>
      <c r="AE9" s="1"/>
    </row>
    <row r="10" spans="1:31" s="4" customFormat="1" x14ac:dyDescent="0.25">
      <c r="B10" s="256" t="s">
        <v>193</v>
      </c>
      <c r="C10" s="272" t="s">
        <v>229</v>
      </c>
      <c r="D10" s="272" t="s">
        <v>229</v>
      </c>
      <c r="E10" s="272" t="s">
        <v>229</v>
      </c>
      <c r="F10" s="273" t="str">
        <f>IFERROR(E10/$E$6,"-")</f>
        <v>-</v>
      </c>
      <c r="G10" s="272" t="s">
        <v>229</v>
      </c>
      <c r="H10" s="261" t="str">
        <f>IFERROR(G10/E10-1,"-")</f>
        <v>-</v>
      </c>
      <c r="I10" s="262" t="str">
        <f>IFERROR(G10-E10,"-")</f>
        <v>-</v>
      </c>
      <c r="J10" s="273" t="str">
        <f>IFERROR(G10/$G$6,"-")</f>
        <v>-</v>
      </c>
      <c r="K10" s="272" t="s">
        <v>229</v>
      </c>
      <c r="L10" s="261" t="str">
        <f>IFERROR(K10/G10-1,"-")</f>
        <v>-</v>
      </c>
      <c r="M10" s="262" t="str">
        <f>IFERROR(K10-G10,"-")</f>
        <v>-</v>
      </c>
      <c r="N10" s="273" t="str">
        <f>IFERROR(K10/$K$6,"-")</f>
        <v>-</v>
      </c>
      <c r="O10" s="272" t="s">
        <v>229</v>
      </c>
      <c r="P10" s="261" t="str">
        <f>IFERROR(O10/K10-1,"-")</f>
        <v>-</v>
      </c>
      <c r="Q10" s="262" t="str">
        <f>IFERROR(O10-K10,"-")</f>
        <v>-</v>
      </c>
      <c r="R10" s="261" t="e">
        <f t="shared" si="5"/>
        <v>#VALUE!</v>
      </c>
      <c r="S10" s="262" t="e">
        <f t="shared" si="6"/>
        <v>#VALUE!</v>
      </c>
      <c r="T10" s="273" t="str">
        <f>IFERROR(O10/$O$6,"-")</f>
        <v>-</v>
      </c>
      <c r="V10" s="29"/>
      <c r="W10" s="81"/>
      <c r="AE10" s="1"/>
    </row>
    <row r="11" spans="1:31" s="4" customFormat="1" hidden="1" x14ac:dyDescent="0.25">
      <c r="B11" s="99" t="s">
        <v>64</v>
      </c>
      <c r="C11" s="263" t="e">
        <v>#REF!</v>
      </c>
      <c r="D11" s="263" t="e">
        <v>#REF!</v>
      </c>
      <c r="E11" s="263" t="e">
        <v>#REF!</v>
      </c>
      <c r="F11" s="269" t="e">
        <f t="shared" si="4"/>
        <v>#REF!</v>
      </c>
      <c r="G11" s="263" t="e">
        <v>#REF!</v>
      </c>
      <c r="H11" s="271" t="e">
        <f t="shared" ref="H11:H12" si="11">G11/E11-1</f>
        <v>#REF!</v>
      </c>
      <c r="I11" s="270" t="e">
        <f t="shared" si="7"/>
        <v>#REF!</v>
      </c>
      <c r="J11" s="269" t="e">
        <f t="shared" si="8"/>
        <v>#REF!</v>
      </c>
      <c r="K11" s="263" t="e">
        <v>#REF!</v>
      </c>
      <c r="L11" s="267" t="e">
        <f>K11/G11-1</f>
        <v>#REF!</v>
      </c>
      <c r="M11" s="270" t="e">
        <f t="shared" si="1"/>
        <v>#REF!</v>
      </c>
      <c r="N11" s="269" t="e">
        <f t="shared" si="9"/>
        <v>#REF!</v>
      </c>
      <c r="O11" s="263" t="e">
        <v>#REF!</v>
      </c>
      <c r="P11" s="271" t="e">
        <f t="shared" si="2"/>
        <v>#REF!</v>
      </c>
      <c r="Q11" s="270" t="e">
        <f t="shared" si="3"/>
        <v>#REF!</v>
      </c>
      <c r="R11" s="271" t="e">
        <f t="shared" ref="R11:R12" si="12">O11/D11-1</f>
        <v>#REF!</v>
      </c>
      <c r="S11" s="270" t="e">
        <f t="shared" ref="S11:S12" si="13">O11-D11</f>
        <v>#REF!</v>
      </c>
      <c r="T11" s="269" t="e">
        <f t="shared" si="10"/>
        <v>#REF!</v>
      </c>
      <c r="V11" s="29"/>
      <c r="W11" s="81"/>
      <c r="AE11" s="1"/>
    </row>
    <row r="12" spans="1:31" s="4" customFormat="1" hidden="1" x14ac:dyDescent="0.25">
      <c r="B12" s="99" t="s">
        <v>63</v>
      </c>
      <c r="C12" s="263" t="e">
        <v>#REF!</v>
      </c>
      <c r="D12" s="263" t="e">
        <v>#REF!</v>
      </c>
      <c r="E12" s="263" t="e">
        <v>#REF!</v>
      </c>
      <c r="F12" s="269" t="e">
        <f t="shared" si="4"/>
        <v>#REF!</v>
      </c>
      <c r="G12" s="263" t="e">
        <v>#REF!</v>
      </c>
      <c r="H12" s="271" t="e">
        <f t="shared" si="11"/>
        <v>#REF!</v>
      </c>
      <c r="I12" s="270" t="e">
        <f t="shared" si="7"/>
        <v>#REF!</v>
      </c>
      <c r="J12" s="269" t="e">
        <f t="shared" si="8"/>
        <v>#REF!</v>
      </c>
      <c r="K12" s="263" t="e">
        <v>#REF!</v>
      </c>
      <c r="L12" s="267" t="e">
        <f t="shared" si="0"/>
        <v>#REF!</v>
      </c>
      <c r="M12" s="270" t="e">
        <f t="shared" si="1"/>
        <v>#REF!</v>
      </c>
      <c r="N12" s="269" t="e">
        <f t="shared" si="9"/>
        <v>#REF!</v>
      </c>
      <c r="O12" s="263" t="e">
        <v>#REF!</v>
      </c>
      <c r="P12" s="271" t="e">
        <f>O12/K12-1</f>
        <v>#REF!</v>
      </c>
      <c r="Q12" s="270" t="e">
        <f t="shared" si="3"/>
        <v>#REF!</v>
      </c>
      <c r="R12" s="271" t="e">
        <f t="shared" si="12"/>
        <v>#REF!</v>
      </c>
      <c r="S12" s="270" t="e">
        <f t="shared" si="13"/>
        <v>#REF!</v>
      </c>
      <c r="T12" s="269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7"/>
      <c r="C13" s="247"/>
      <c r="D13" s="247"/>
      <c r="E13" s="247"/>
      <c r="F13" s="247"/>
      <c r="G13" s="247"/>
      <c r="H13" s="247"/>
      <c r="I13" s="247"/>
      <c r="J13" s="247"/>
      <c r="K13" s="247"/>
      <c r="L13" s="274"/>
      <c r="M13" s="247"/>
      <c r="N13" s="247"/>
      <c r="O13" s="247"/>
      <c r="P13" s="247"/>
      <c r="Q13" s="247"/>
      <c r="R13" s="247"/>
      <c r="S13" s="247"/>
      <c r="T13" s="247"/>
      <c r="AE13" s="1" t="s">
        <v>182</v>
      </c>
    </row>
    <row r="14" spans="1:31" s="4" customFormat="1" x14ac:dyDescent="0.25">
      <c r="B14" s="172" t="s">
        <v>183</v>
      </c>
      <c r="C14" s="172"/>
      <c r="D14" s="172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43.681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78" t="s">
        <v>185</v>
      </c>
      <c r="C38" s="278"/>
      <c r="D38" s="278"/>
      <c r="E38" s="278"/>
      <c r="F38" s="278"/>
      <c r="G38" s="278"/>
      <c r="H38" s="278"/>
      <c r="I38" s="278"/>
      <c r="J38" s="278"/>
      <c r="K38" s="278"/>
      <c r="L38" s="278"/>
      <c r="M38" s="278"/>
      <c r="N38" s="278"/>
      <c r="O38" s="278"/>
      <c r="P38" s="278"/>
      <c r="Q38" s="278"/>
      <c r="R38" s="278"/>
      <c r="S38" s="278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9"/>
      <c r="AE40" s="1"/>
    </row>
    <row r="41" spans="2:31" s="4" customFormat="1" ht="18.75" hidden="1" x14ac:dyDescent="0.3">
      <c r="B41" s="235" t="s">
        <v>173</v>
      </c>
      <c r="C41" s="236"/>
      <c r="D41" s="236"/>
      <c r="E41" s="236"/>
      <c r="F41" s="236"/>
      <c r="G41" s="236"/>
      <c r="H41" s="236"/>
      <c r="I41" s="236"/>
      <c r="J41" s="236"/>
      <c r="K41" s="236">
        <v>1824653</v>
      </c>
      <c r="L41" s="236"/>
      <c r="M41" s="236"/>
      <c r="N41" s="237"/>
      <c r="O41" s="236">
        <v>2354005</v>
      </c>
      <c r="P41" s="237"/>
      <c r="Q41" s="237">
        <v>1</v>
      </c>
      <c r="R41" s="237">
        <v>0.2901110512519367</v>
      </c>
      <c r="S41" s="236">
        <v>529352</v>
      </c>
      <c r="T41" s="248"/>
      <c r="AE41" s="1"/>
    </row>
    <row r="42" spans="2:31" ht="18.75" hidden="1" x14ac:dyDescent="0.3">
      <c r="B42" s="235" t="s">
        <v>174</v>
      </c>
      <c r="C42" s="236"/>
      <c r="D42" s="236"/>
      <c r="E42" s="236"/>
      <c r="F42" s="236"/>
      <c r="G42" s="236"/>
      <c r="H42" s="236"/>
      <c r="I42" s="236"/>
      <c r="J42" s="236"/>
      <c r="K42" s="236">
        <v>603938</v>
      </c>
      <c r="L42" s="236"/>
      <c r="M42" s="236"/>
      <c r="N42" s="237">
        <v>1</v>
      </c>
      <c r="O42" s="236">
        <v>936181</v>
      </c>
      <c r="P42" s="237">
        <v>1</v>
      </c>
      <c r="Q42" s="237">
        <v>0.39769711619134201</v>
      </c>
      <c r="R42" s="237">
        <v>0.55012766211101138</v>
      </c>
      <c r="S42" s="236">
        <v>332243</v>
      </c>
      <c r="T42" s="248"/>
      <c r="AE42" s="1" t="s">
        <v>175</v>
      </c>
    </row>
    <row r="43" spans="2:31" ht="15.75" hidden="1" x14ac:dyDescent="0.25">
      <c r="B43" s="238" t="s">
        <v>102</v>
      </c>
      <c r="C43" s="239"/>
      <c r="D43" s="239"/>
      <c r="E43" s="239"/>
      <c r="F43" s="239"/>
      <c r="G43" s="239"/>
      <c r="H43" s="239"/>
      <c r="I43" s="239"/>
      <c r="J43" s="239"/>
      <c r="K43" s="239">
        <v>276550.36166633503</v>
      </c>
      <c r="L43" s="239"/>
      <c r="M43" s="239"/>
      <c r="N43" s="240">
        <v>0.45791184139155844</v>
      </c>
      <c r="O43" s="239">
        <v>430252.45635520399</v>
      </c>
      <c r="P43" s="240">
        <v>0.4595825554622493</v>
      </c>
      <c r="Q43" s="240">
        <v>0.18277465695918402</v>
      </c>
      <c r="R43" s="240">
        <v>0.55578337978930015</v>
      </c>
      <c r="S43" s="239">
        <v>153702.09468886897</v>
      </c>
      <c r="T43" s="249"/>
      <c r="AE43" s="1" t="s">
        <v>176</v>
      </c>
    </row>
    <row r="44" spans="2:31" s="4" customFormat="1" hidden="1" x14ac:dyDescent="0.25">
      <c r="B44" s="241" t="s">
        <v>105</v>
      </c>
      <c r="C44" s="242"/>
      <c r="D44" s="242"/>
      <c r="E44" s="242"/>
      <c r="F44" s="242"/>
      <c r="G44" s="242"/>
      <c r="H44" s="242"/>
      <c r="I44" s="242"/>
      <c r="J44" s="242"/>
      <c r="K44" s="242">
        <v>327387.63833385095</v>
      </c>
      <c r="L44" s="242"/>
      <c r="M44" s="242"/>
      <c r="N44" s="245">
        <v>0.54208815860874948</v>
      </c>
      <c r="O44" s="242">
        <v>505927.5436448183</v>
      </c>
      <c r="P44" s="245">
        <v>0.54041637636826456</v>
      </c>
      <c r="Q44" s="245">
        <v>0.21492203442423372</v>
      </c>
      <c r="R44" s="243">
        <v>0.54534711884540576</v>
      </c>
      <c r="S44" s="244">
        <v>178539.90531096736</v>
      </c>
      <c r="T44" s="251"/>
      <c r="AE44" s="1" t="s">
        <v>177</v>
      </c>
    </row>
    <row r="45" spans="2:31" s="4" customFormat="1" hidden="1" x14ac:dyDescent="0.25">
      <c r="B45" s="246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46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47"/>
      <c r="C47" s="247"/>
      <c r="D47" s="247"/>
      <c r="E47" s="247"/>
      <c r="F47" s="247"/>
      <c r="G47" s="247"/>
      <c r="H47" s="247"/>
      <c r="I47" s="247"/>
      <c r="J47" s="247"/>
      <c r="K47" s="247"/>
      <c r="L47" s="247"/>
      <c r="M47" s="247"/>
      <c r="N47" s="247"/>
      <c r="O47" s="247"/>
      <c r="P47" s="247"/>
      <c r="Q47" s="247"/>
      <c r="R47" s="247"/>
      <c r="S47" s="247"/>
      <c r="AE47" s="1" t="s">
        <v>182</v>
      </c>
    </row>
    <row r="48" spans="2:31" s="4" customFormat="1" hidden="1" x14ac:dyDescent="0.25">
      <c r="B48" s="296" t="s">
        <v>183</v>
      </c>
      <c r="C48" s="296"/>
      <c r="D48" s="296"/>
      <c r="E48" s="296"/>
      <c r="F48" s="296"/>
      <c r="G48" s="296"/>
      <c r="H48" s="296"/>
      <c r="I48" s="296"/>
      <c r="J48" s="296"/>
      <c r="K48" s="296"/>
      <c r="L48" s="296"/>
      <c r="M48" s="296"/>
      <c r="N48" s="296"/>
      <c r="O48" s="296"/>
      <c r="P48" s="296"/>
      <c r="Q48" s="296"/>
      <c r="R48" s="296"/>
      <c r="S48" s="296"/>
      <c r="T48" s="49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6"/>
      <c r="D50" s="126"/>
      <c r="E50" s="126"/>
      <c r="F50" s="126"/>
      <c r="G50" s="126"/>
      <c r="H50" s="126"/>
      <c r="I50" s="126"/>
      <c r="J50" s="126"/>
      <c r="K50" s="126">
        <v>0.54208815860874948</v>
      </c>
      <c r="L50" s="126"/>
      <c r="M50" s="126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198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6">
        <v>2020</v>
      </c>
      <c r="D133" s="186">
        <v>2021</v>
      </c>
      <c r="E133" s="186">
        <v>2022</v>
      </c>
      <c r="F133" s="186">
        <v>2023</v>
      </c>
      <c r="G133" s="174" t="str">
        <f>CONCATENATE("var. ",RIGHT(F133,2),"/",RIGHT(E133,2))</f>
        <v>var. 23/22</v>
      </c>
      <c r="H133" s="174" t="str">
        <f>CONCATENATE("dif. ",RIGHT(F133,2),"/",RIGHT(E133,2))</f>
        <v>dif. 23/22</v>
      </c>
      <c r="I133" s="253" t="str">
        <f>CONCATENATE("%/s total Tenerife ",RIGHT(F133,4))</f>
        <v>%/s total Tenerife 2023</v>
      </c>
      <c r="J133" s="186">
        <v>2024</v>
      </c>
      <c r="K133" s="253" t="str">
        <f>CONCATENATE("%/s total Tenerife ",RIGHT(J133,4))</f>
        <v>%/s total Tenerife 2024</v>
      </c>
      <c r="L133" s="174" t="str">
        <f>CONCATENATE("var. ",RIGHT(J133,2),"/",RIGHT(F133,2))</f>
        <v>var. 24/23</v>
      </c>
      <c r="M133" s="174" t="str">
        <f>CONCATENATE("dif. ",RIGHT(J133,2),"/",RIGHT(F133,2))</f>
        <v>dif. 24/23</v>
      </c>
      <c r="N133" s="174" t="str">
        <f>CONCATENATE("var. ",RIGHT(J133,2),"/",RIGHT(D133,2))</f>
        <v>var. 24/21</v>
      </c>
      <c r="O133" s="174" t="str">
        <f>CONCATENATE("dif. ",RIGHT(J133,2),"/",RIGHT(D133,2))</f>
        <v>dif. 24/21</v>
      </c>
      <c r="Z133" s="1"/>
    </row>
    <row r="134" spans="1:31" ht="18.75" x14ac:dyDescent="0.3">
      <c r="A134" s="4"/>
      <c r="B134" s="235" t="s">
        <v>197</v>
      </c>
      <c r="C134" s="239">
        <v>33780</v>
      </c>
      <c r="D134" s="239">
        <v>51310</v>
      </c>
      <c r="E134" s="239">
        <v>65021</v>
      </c>
      <c r="F134" s="239">
        <v>80309</v>
      </c>
      <c r="G134" s="240">
        <f>F134/E134-1</f>
        <v>0.23512403684963323</v>
      </c>
      <c r="H134" s="239">
        <f>F134-E134</f>
        <v>15288</v>
      </c>
      <c r="I134" s="240">
        <f>F134/F$134</f>
        <v>1</v>
      </c>
      <c r="J134" s="239">
        <v>80773</v>
      </c>
      <c r="K134" s="240">
        <f>J134/J$134</f>
        <v>1</v>
      </c>
      <c r="L134" s="240">
        <f>J134/F134-1</f>
        <v>5.7776836967213807E-3</v>
      </c>
      <c r="M134" s="239">
        <f>J134-F134</f>
        <v>464</v>
      </c>
      <c r="N134" s="240">
        <f>J134/D134-1</f>
        <v>0.57421555252387457</v>
      </c>
      <c r="O134" s="239">
        <f>J134-D134</f>
        <v>29463</v>
      </c>
      <c r="Q134" s="29"/>
      <c r="R134" s="81"/>
      <c r="Z134" s="1" t="s">
        <v>175</v>
      </c>
      <c r="AE134"/>
    </row>
    <row r="135" spans="1:31" s="4" customFormat="1" x14ac:dyDescent="0.25">
      <c r="B135" s="256" t="s">
        <v>192</v>
      </c>
      <c r="C135" s="257">
        <v>33780</v>
      </c>
      <c r="D135" s="257">
        <v>51310</v>
      </c>
      <c r="E135" s="257">
        <v>65021</v>
      </c>
      <c r="F135" s="257">
        <v>80309</v>
      </c>
      <c r="G135" s="261">
        <f>IFERROR(F135/E135-1,"-")</f>
        <v>0.23512403684963323</v>
      </c>
      <c r="H135" s="257">
        <f t="shared" ref="H135:H138" si="14">F135-E135</f>
        <v>15288</v>
      </c>
      <c r="I135" s="259">
        <f>F135/F$134</f>
        <v>1</v>
      </c>
      <c r="J135" s="257">
        <v>80773</v>
      </c>
      <c r="K135" s="258">
        <f t="shared" ref="K135:K138" si="15">J135/J$134</f>
        <v>1</v>
      </c>
      <c r="L135" s="259">
        <f t="shared" ref="L135:L138" si="16">J135/F135-1</f>
        <v>5.7776836967213807E-3</v>
      </c>
      <c r="M135" s="260">
        <f t="shared" ref="M135:M138" si="17">J135-F135</f>
        <v>464</v>
      </c>
      <c r="N135" s="258">
        <f t="shared" ref="N135:N138" si="18">J135/D135-1</f>
        <v>0.57421555252387457</v>
      </c>
      <c r="O135" s="257">
        <f t="shared" ref="O135:O138" si="19">J135-D135</f>
        <v>29463</v>
      </c>
      <c r="Q135" s="29"/>
      <c r="R135" s="81"/>
      <c r="Z135" s="1" t="s">
        <v>177</v>
      </c>
    </row>
    <row r="136" spans="1:31" s="4" customFormat="1" x14ac:dyDescent="0.25">
      <c r="B136" s="99" t="s">
        <v>64</v>
      </c>
      <c r="C136" s="263">
        <v>12089</v>
      </c>
      <c r="D136" s="263">
        <v>17131</v>
      </c>
      <c r="E136" s="263">
        <v>22240</v>
      </c>
      <c r="F136" s="263">
        <v>31283</v>
      </c>
      <c r="G136" s="267">
        <f t="shared" ref="G136:G138" si="20">IFERROR(F136/E136-1,"-")</f>
        <v>0.40660971223021591</v>
      </c>
      <c r="H136" s="263">
        <f t="shared" si="14"/>
        <v>9043</v>
      </c>
      <c r="I136" s="271">
        <f t="shared" ref="I136:I138" si="21">F136/F$134</f>
        <v>0.38953292906149994</v>
      </c>
      <c r="J136" s="263">
        <v>28362</v>
      </c>
      <c r="K136" s="269">
        <f t="shared" si="15"/>
        <v>0.35113218525992596</v>
      </c>
      <c r="L136" s="271">
        <f t="shared" si="16"/>
        <v>-9.337339769203723E-2</v>
      </c>
      <c r="M136" s="270">
        <f t="shared" si="17"/>
        <v>-2921</v>
      </c>
      <c r="N136" s="269">
        <f t="shared" si="18"/>
        <v>0.65559511995797104</v>
      </c>
      <c r="O136" s="263">
        <f t="shared" si="19"/>
        <v>11231</v>
      </c>
      <c r="Q136" s="29"/>
      <c r="R136" s="81"/>
      <c r="Z136" s="1"/>
    </row>
    <row r="137" spans="1:31" s="4" customFormat="1" x14ac:dyDescent="0.25">
      <c r="B137" s="99" t="s">
        <v>63</v>
      </c>
      <c r="C137" s="263">
        <v>21691</v>
      </c>
      <c r="D137" s="263">
        <v>34179</v>
      </c>
      <c r="E137" s="263">
        <v>42781</v>
      </c>
      <c r="F137" s="263">
        <v>49026</v>
      </c>
      <c r="G137" s="265">
        <f t="shared" si="20"/>
        <v>0.14597601739089794</v>
      </c>
      <c r="H137" s="263">
        <f t="shared" si="14"/>
        <v>6245</v>
      </c>
      <c r="I137" s="275">
        <f t="shared" si="21"/>
        <v>0.61046707093850006</v>
      </c>
      <c r="J137" s="263">
        <v>52411</v>
      </c>
      <c r="K137" s="269">
        <f t="shared" si="15"/>
        <v>0.64886781474007404</v>
      </c>
      <c r="L137" s="271">
        <f t="shared" si="16"/>
        <v>6.9044996532452219E-2</v>
      </c>
      <c r="M137" s="270">
        <f t="shared" si="17"/>
        <v>3385</v>
      </c>
      <c r="N137" s="269">
        <f t="shared" si="18"/>
        <v>0.53342695807367102</v>
      </c>
      <c r="O137" s="263">
        <f t="shared" si="19"/>
        <v>18232</v>
      </c>
      <c r="Q137" s="29"/>
      <c r="R137" s="81"/>
      <c r="Z137" s="1"/>
    </row>
    <row r="138" spans="1:31" s="4" customFormat="1" x14ac:dyDescent="0.25">
      <c r="B138" s="256" t="s">
        <v>193</v>
      </c>
      <c r="C138" s="257" t="e">
        <v>#REF!</v>
      </c>
      <c r="D138" s="257" t="e">
        <v>#REF!</v>
      </c>
      <c r="E138" s="257" t="e">
        <v>#REF!</v>
      </c>
      <c r="F138" s="257" t="e">
        <v>#REF!</v>
      </c>
      <c r="G138" s="261" t="str">
        <f t="shared" si="20"/>
        <v>-</v>
      </c>
      <c r="H138" s="257" t="e">
        <f t="shared" si="14"/>
        <v>#REF!</v>
      </c>
      <c r="I138" s="259" t="e">
        <f t="shared" si="21"/>
        <v>#REF!</v>
      </c>
      <c r="J138" s="257" t="e">
        <v>#REF!</v>
      </c>
      <c r="K138" s="258" t="e">
        <f t="shared" si="15"/>
        <v>#REF!</v>
      </c>
      <c r="L138" s="259" t="e">
        <f t="shared" si="16"/>
        <v>#REF!</v>
      </c>
      <c r="M138" s="260" t="e">
        <f t="shared" si="17"/>
        <v>#REF!</v>
      </c>
      <c r="N138" s="258" t="e">
        <f t="shared" si="18"/>
        <v>#REF!</v>
      </c>
      <c r="O138" s="257" t="e">
        <f t="shared" si="19"/>
        <v>#REF!</v>
      </c>
      <c r="Q138" s="29"/>
      <c r="R138" s="81"/>
      <c r="Z138" s="1"/>
    </row>
    <row r="139" spans="1:31" s="4" customFormat="1" ht="7.5" customHeight="1" x14ac:dyDescent="0.25">
      <c r="B139" s="247"/>
      <c r="C139" s="247"/>
      <c r="D139" s="247"/>
      <c r="E139" s="247"/>
      <c r="F139" s="247"/>
      <c r="G139" s="247"/>
      <c r="H139" s="247"/>
      <c r="I139" s="247"/>
      <c r="J139" s="247"/>
      <c r="K139" s="247"/>
      <c r="L139" s="247"/>
      <c r="M139" s="247"/>
      <c r="N139" s="247"/>
      <c r="O139" s="247"/>
      <c r="Z139" s="1" t="s">
        <v>182</v>
      </c>
    </row>
    <row r="140" spans="1:31" s="4" customFormat="1" ht="32.25" customHeight="1" x14ac:dyDescent="0.25">
      <c r="B140" s="319" t="s">
        <v>196</v>
      </c>
      <c r="C140" s="319"/>
      <c r="D140" s="319"/>
      <c r="E140" s="319"/>
      <c r="F140" s="319"/>
      <c r="G140" s="319"/>
      <c r="H140" s="319"/>
      <c r="I140" s="319"/>
      <c r="J140" s="319"/>
      <c r="K140" s="319"/>
      <c r="L140" s="319"/>
      <c r="M140" s="319"/>
      <c r="N140" s="319"/>
      <c r="O140" s="319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15AB53-BC56-4687-843E-8A880181450B}">
  <sheetPr>
    <tabColor theme="4" tint="0.39997558519241921"/>
  </sheetPr>
  <dimension ref="A1:AE142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20" width="12.42578125" customWidth="1"/>
    <col min="27" max="27" width="14" hidden="1" customWidth="1"/>
    <col min="31" max="31" width="11.42578125" style="1"/>
  </cols>
  <sheetData>
    <row r="1" spans="1:31" ht="30" customHeight="1" x14ac:dyDescent="0.25">
      <c r="B1" s="1" t="s">
        <v>190</v>
      </c>
      <c r="G1" s="234"/>
      <c r="H1" s="234"/>
      <c r="I1" s="234"/>
      <c r="K1" s="234"/>
    </row>
    <row r="3" spans="1:31" s="4" customFormat="1" ht="25.5" customHeight="1" thickBot="1" x14ac:dyDescent="0.3">
      <c r="B3" s="66" t="s">
        <v>308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30" x14ac:dyDescent="0.25">
      <c r="C5" s="252" t="s">
        <v>259</v>
      </c>
      <c r="D5" s="252" t="s">
        <v>260</v>
      </c>
      <c r="E5" s="252" t="s">
        <v>261</v>
      </c>
      <c r="F5" s="253" t="str">
        <f>CONCATENATE("%/s total Tenerife ",RIGHT(E5,4))</f>
        <v>%/s total Tenerife 2022</v>
      </c>
      <c r="G5" s="252" t="s">
        <v>262</v>
      </c>
      <c r="H5" s="253" t="str">
        <f>CONCATENATE("var. ",RIGHT(G5,2),"/",RIGHT(E5,2))</f>
        <v>var. 23/22</v>
      </c>
      <c r="I5" s="253" t="str">
        <f>CONCATENATE("dif. ",RIGHT(G5,2),"/",RIGHT(E5,2))</f>
        <v>dif. 23/22</v>
      </c>
      <c r="J5" s="253" t="str">
        <f>CONCATENATE("%/s total Tenerife ",RIGHT(G5,4))</f>
        <v>%/s total Tenerife 2023</v>
      </c>
      <c r="K5" s="252" t="s">
        <v>263</v>
      </c>
      <c r="L5" s="253" t="str">
        <f>CONCATENATE("var. ",RIGHT(K5,2),"/",RIGHT(G5,2))</f>
        <v>var. 24/23</v>
      </c>
      <c r="M5" s="253" t="str">
        <f>CONCATENATE("dif. ",RIGHT(K5,2),"/",RIGHT(G5,2))</f>
        <v>dif. 24/23</v>
      </c>
      <c r="N5" s="253" t="str">
        <f>CONCATENATE("%/s total Tenerife ",RIGHT(K5,4))</f>
        <v>%/s total Tenerife 2024</v>
      </c>
      <c r="O5" s="252" t="s">
        <v>264</v>
      </c>
      <c r="P5" s="253" t="str">
        <f>CONCATENATE("var. ",RIGHT(O5,2),"/",RIGHT(K5,2))</f>
        <v>var. 25/24</v>
      </c>
      <c r="Q5" s="253" t="str">
        <f>CONCATENATE("dif. ",RIGHT(O5,2),"/",RIGHT(K5,2))</f>
        <v>dif. 25/24</v>
      </c>
      <c r="R5" s="253" t="str">
        <f>CONCATENATE("var. ",RIGHT(O5,2),"/",RIGHT(C5,2))</f>
        <v>var. 25/20</v>
      </c>
      <c r="S5" s="253" t="str">
        <f>CONCATENATE("dif. ",RIGHT(O5,2),"/",RIGHT(C5,2))</f>
        <v>dif. 25/20</v>
      </c>
      <c r="T5" s="253" t="str">
        <f>CONCATENATE("%/s total Tenerife ",RIGHT(O5,4))</f>
        <v>%/s total Tenerife 2025</v>
      </c>
      <c r="AE5" s="1"/>
    </row>
    <row r="6" spans="1:31" ht="18.75" x14ac:dyDescent="0.3">
      <c r="A6" s="4"/>
      <c r="B6" s="235" t="s">
        <v>199</v>
      </c>
      <c r="C6" s="254">
        <v>13715</v>
      </c>
      <c r="D6" s="254">
        <v>20861</v>
      </c>
      <c r="E6" s="254">
        <v>31514</v>
      </c>
      <c r="F6" s="255">
        <f>E6/$E$6</f>
        <v>1</v>
      </c>
      <c r="G6" s="254">
        <v>35561</v>
      </c>
      <c r="H6" s="255">
        <f>G6/E6-1</f>
        <v>0.12841911531382877</v>
      </c>
      <c r="I6" s="254">
        <f>G6-E6</f>
        <v>4047</v>
      </c>
      <c r="J6" s="255">
        <f>G6/$G$6</f>
        <v>1</v>
      </c>
      <c r="K6" s="254">
        <v>34109</v>
      </c>
      <c r="L6" s="255">
        <f t="shared" ref="L6:L12" si="0">K6/G6-1</f>
        <v>-4.0831247715193641E-2</v>
      </c>
      <c r="M6" s="254">
        <f t="shared" ref="M6:M12" si="1">K6-G6</f>
        <v>-1452</v>
      </c>
      <c r="N6" s="255">
        <f>K6/$K$6</f>
        <v>1</v>
      </c>
      <c r="O6" s="254">
        <v>44044</v>
      </c>
      <c r="P6" s="255">
        <f t="shared" ref="P6:P11" si="2">O6/K6-1</f>
        <v>0.29127209827318312</v>
      </c>
      <c r="Q6" s="254">
        <f t="shared" ref="Q6:Q12" si="3">O6-K6</f>
        <v>9935</v>
      </c>
      <c r="R6" s="255">
        <f>O6/C6-1</f>
        <v>2.2113744075829382</v>
      </c>
      <c r="S6" s="254">
        <f>O6-C6</f>
        <v>30329</v>
      </c>
      <c r="T6" s="255">
        <f>O6/$O$6</f>
        <v>1</v>
      </c>
      <c r="V6" s="29"/>
      <c r="W6" s="81"/>
      <c r="AE6" s="1" t="s">
        <v>175</v>
      </c>
    </row>
    <row r="7" spans="1:31" s="4" customFormat="1" x14ac:dyDescent="0.25">
      <c r="B7" s="256" t="s">
        <v>192</v>
      </c>
      <c r="C7" s="257">
        <v>13715</v>
      </c>
      <c r="D7" s="257">
        <v>20861</v>
      </c>
      <c r="E7" s="257">
        <v>31514</v>
      </c>
      <c r="F7" s="258">
        <f t="shared" ref="F7:F12" si="4">E7/$E$6</f>
        <v>1</v>
      </c>
      <c r="G7" s="257">
        <v>35561</v>
      </c>
      <c r="H7" s="259">
        <f>G7/E7-1</f>
        <v>0.12841911531382877</v>
      </c>
      <c r="I7" s="260">
        <f>G7-E7</f>
        <v>4047</v>
      </c>
      <c r="J7" s="258">
        <f>G7/$G$6</f>
        <v>1</v>
      </c>
      <c r="K7" s="257">
        <v>34109</v>
      </c>
      <c r="L7" s="261">
        <f t="shared" si="0"/>
        <v>-4.0831247715193641E-2</v>
      </c>
      <c r="M7" s="262">
        <f t="shared" si="1"/>
        <v>-1452</v>
      </c>
      <c r="N7" s="258">
        <f>K7/$K$6</f>
        <v>1</v>
      </c>
      <c r="O7" s="257">
        <v>44044</v>
      </c>
      <c r="P7" s="259">
        <f t="shared" si="2"/>
        <v>0.29127209827318312</v>
      </c>
      <c r="Q7" s="260">
        <f t="shared" si="3"/>
        <v>9935</v>
      </c>
      <c r="R7" s="259">
        <f t="shared" ref="R7:R10" si="5">O7/C7-1</f>
        <v>2.2113744075829382</v>
      </c>
      <c r="S7" s="260">
        <f t="shared" ref="S7:S10" si="6">O7-C7</f>
        <v>30329</v>
      </c>
      <c r="T7" s="258">
        <f>O7/$O$6</f>
        <v>1</v>
      </c>
      <c r="V7" s="29"/>
      <c r="W7" s="81"/>
      <c r="AE7" s="1" t="s">
        <v>177</v>
      </c>
    </row>
    <row r="8" spans="1:31" s="4" customFormat="1" x14ac:dyDescent="0.25">
      <c r="B8" s="99" t="s">
        <v>64</v>
      </c>
      <c r="C8" s="263">
        <v>6450</v>
      </c>
      <c r="D8" s="263">
        <v>6328</v>
      </c>
      <c r="E8" s="263">
        <v>12657</v>
      </c>
      <c r="F8" s="264">
        <f t="shared" si="4"/>
        <v>0.40163102113346449</v>
      </c>
      <c r="G8" s="263">
        <v>14419</v>
      </c>
      <c r="H8" s="265">
        <f>IFERROR(G8/E8-1,"-")</f>
        <v>0.139211503515841</v>
      </c>
      <c r="I8" s="266">
        <f t="shared" ref="I8:I12" si="7">G8-E8</f>
        <v>1762</v>
      </c>
      <c r="J8" s="264">
        <f t="shared" ref="J8:J12" si="8">G8/$G$6</f>
        <v>0.40547228705604454</v>
      </c>
      <c r="K8" s="263">
        <v>19491</v>
      </c>
      <c r="L8" s="267">
        <f>IFERROR(K8/G8-1,"-")</f>
        <v>0.35175809695540616</v>
      </c>
      <c r="M8" s="268">
        <f>IF(G8=0,"nd",K8-G8)</f>
        <v>5072</v>
      </c>
      <c r="N8" s="269">
        <f t="shared" ref="N8:N12" si="9">K8/$K$6</f>
        <v>0.57143275968219531</v>
      </c>
      <c r="O8" s="263">
        <v>17619</v>
      </c>
      <c r="P8" s="267">
        <f>IFERROR(O8/K8-1,"-")</f>
        <v>-9.6044328151454472E-2</v>
      </c>
      <c r="Q8" s="270">
        <f t="shared" si="3"/>
        <v>-1872</v>
      </c>
      <c r="R8" s="267">
        <f>IFERROR(O8/C8-1,"-")</f>
        <v>1.7316279069767444</v>
      </c>
      <c r="S8" s="270">
        <f t="shared" si="6"/>
        <v>11169</v>
      </c>
      <c r="T8" s="269">
        <f t="shared" ref="T8:T12" si="10">O8/$O$6</f>
        <v>0.40003178639542275</v>
      </c>
      <c r="V8" s="29"/>
      <c r="W8" s="81"/>
      <c r="AE8" s="1"/>
    </row>
    <row r="9" spans="1:31" s="4" customFormat="1" x14ac:dyDescent="0.25">
      <c r="B9" s="99" t="s">
        <v>63</v>
      </c>
      <c r="C9" s="263">
        <v>7265</v>
      </c>
      <c r="D9" s="263">
        <v>14533</v>
      </c>
      <c r="E9" s="263">
        <v>18857</v>
      </c>
      <c r="F9" s="269">
        <f t="shared" si="4"/>
        <v>0.59836897886653551</v>
      </c>
      <c r="G9" s="263">
        <v>21142</v>
      </c>
      <c r="H9" s="265">
        <f>IFERROR(G9/E9-1,"-")</f>
        <v>0.1211751604178819</v>
      </c>
      <c r="I9" s="270">
        <f t="shared" si="7"/>
        <v>2285</v>
      </c>
      <c r="J9" s="269">
        <f t="shared" si="8"/>
        <v>0.59452771294395546</v>
      </c>
      <c r="K9" s="263">
        <v>14618</v>
      </c>
      <c r="L9" s="267">
        <f>IFERROR(K9/G9-1,"-")</f>
        <v>-0.30858007757071237</v>
      </c>
      <c r="M9" s="268">
        <f>IF(G9=0,"nd",K9-G9)</f>
        <v>-6524</v>
      </c>
      <c r="N9" s="269">
        <f t="shared" si="9"/>
        <v>0.42856724031780469</v>
      </c>
      <c r="O9" s="263">
        <v>26425</v>
      </c>
      <c r="P9" s="267">
        <f t="shared" si="2"/>
        <v>0.80770283212477767</v>
      </c>
      <c r="Q9" s="270">
        <f t="shared" si="3"/>
        <v>11807</v>
      </c>
      <c r="R9" s="271">
        <f t="shared" si="5"/>
        <v>2.6373021335168616</v>
      </c>
      <c r="S9" s="270">
        <f t="shared" si="6"/>
        <v>19160</v>
      </c>
      <c r="T9" s="269">
        <f t="shared" si="10"/>
        <v>0.59996821360457719</v>
      </c>
      <c r="V9" s="29"/>
      <c r="W9" s="81"/>
      <c r="AE9" s="1"/>
    </row>
    <row r="10" spans="1:31" s="4" customFormat="1" x14ac:dyDescent="0.25">
      <c r="B10" s="256" t="s">
        <v>193</v>
      </c>
      <c r="C10" s="272" t="s">
        <v>229</v>
      </c>
      <c r="D10" s="272" t="s">
        <v>229</v>
      </c>
      <c r="E10" s="272" t="s">
        <v>229</v>
      </c>
      <c r="F10" s="273" t="str">
        <f>IFERROR(E10/$E$6,"-")</f>
        <v>-</v>
      </c>
      <c r="G10" s="272" t="s">
        <v>229</v>
      </c>
      <c r="H10" s="261" t="str">
        <f>IFERROR(G10/E10-1,"-")</f>
        <v>-</v>
      </c>
      <c r="I10" s="262" t="str">
        <f>IFERROR(G10-E10,"-")</f>
        <v>-</v>
      </c>
      <c r="J10" s="273" t="str">
        <f>IFERROR(G10/$G$6,"-")</f>
        <v>-</v>
      </c>
      <c r="K10" s="272" t="s">
        <v>229</v>
      </c>
      <c r="L10" s="261" t="str">
        <f>IFERROR(K10/G10-1,"-")</f>
        <v>-</v>
      </c>
      <c r="M10" s="262" t="str">
        <f>IFERROR(K10-G10,"-")</f>
        <v>-</v>
      </c>
      <c r="N10" s="273" t="str">
        <f>IFERROR(K10/$K$6,"-")</f>
        <v>-</v>
      </c>
      <c r="O10" s="272" t="s">
        <v>229</v>
      </c>
      <c r="P10" s="261" t="str">
        <f>IFERROR(O10/K10-1,"-")</f>
        <v>-</v>
      </c>
      <c r="Q10" s="262" t="str">
        <f>IFERROR(O10-K10,"-")</f>
        <v>-</v>
      </c>
      <c r="R10" s="261" t="e">
        <f t="shared" si="5"/>
        <v>#VALUE!</v>
      </c>
      <c r="S10" s="262" t="e">
        <f t="shared" si="6"/>
        <v>#VALUE!</v>
      </c>
      <c r="T10" s="273" t="str">
        <f>IFERROR(O10/$O$6,"-")</f>
        <v>-</v>
      </c>
      <c r="V10" s="29"/>
      <c r="W10" s="81"/>
      <c r="AE10" s="1"/>
    </row>
    <row r="11" spans="1:31" s="4" customFormat="1" hidden="1" x14ac:dyDescent="0.25">
      <c r="B11" s="99" t="s">
        <v>64</v>
      </c>
      <c r="C11" s="263" t="e">
        <v>#REF!</v>
      </c>
      <c r="D11" s="263" t="e">
        <v>#REF!</v>
      </c>
      <c r="E11" s="263" t="e">
        <v>#REF!</v>
      </c>
      <c r="F11" s="269" t="e">
        <f t="shared" si="4"/>
        <v>#REF!</v>
      </c>
      <c r="G11" s="263" t="e">
        <v>#REF!</v>
      </c>
      <c r="H11" s="271" t="e">
        <f t="shared" ref="H11:H12" si="11">G11/E11-1</f>
        <v>#REF!</v>
      </c>
      <c r="I11" s="270" t="e">
        <f t="shared" si="7"/>
        <v>#REF!</v>
      </c>
      <c r="J11" s="269" t="e">
        <f t="shared" si="8"/>
        <v>#REF!</v>
      </c>
      <c r="K11" s="263" t="e">
        <v>#REF!</v>
      </c>
      <c r="L11" s="267" t="e">
        <f>K11/G11-1</f>
        <v>#REF!</v>
      </c>
      <c r="M11" s="270" t="e">
        <f t="shared" si="1"/>
        <v>#REF!</v>
      </c>
      <c r="N11" s="269" t="e">
        <f t="shared" si="9"/>
        <v>#REF!</v>
      </c>
      <c r="O11" s="263" t="e">
        <v>#REF!</v>
      </c>
      <c r="P11" s="271" t="e">
        <f t="shared" si="2"/>
        <v>#REF!</v>
      </c>
      <c r="Q11" s="270" t="e">
        <f t="shared" si="3"/>
        <v>#REF!</v>
      </c>
      <c r="R11" s="271" t="e">
        <f t="shared" ref="R11:R12" si="12">O11/D11-1</f>
        <v>#REF!</v>
      </c>
      <c r="S11" s="270" t="e">
        <f t="shared" ref="S11:S12" si="13">O11-D11</f>
        <v>#REF!</v>
      </c>
      <c r="T11" s="269" t="e">
        <f t="shared" si="10"/>
        <v>#REF!</v>
      </c>
      <c r="V11" s="29"/>
      <c r="W11" s="81"/>
      <c r="AE11" s="1"/>
    </row>
    <row r="12" spans="1:31" s="4" customFormat="1" hidden="1" x14ac:dyDescent="0.25">
      <c r="B12" s="99" t="s">
        <v>63</v>
      </c>
      <c r="C12" s="263" t="e">
        <v>#REF!</v>
      </c>
      <c r="D12" s="263" t="e">
        <v>#REF!</v>
      </c>
      <c r="E12" s="263" t="e">
        <v>#REF!</v>
      </c>
      <c r="F12" s="269" t="e">
        <f t="shared" si="4"/>
        <v>#REF!</v>
      </c>
      <c r="G12" s="263" t="e">
        <v>#REF!</v>
      </c>
      <c r="H12" s="271" t="e">
        <f t="shared" si="11"/>
        <v>#REF!</v>
      </c>
      <c r="I12" s="270" t="e">
        <f t="shared" si="7"/>
        <v>#REF!</v>
      </c>
      <c r="J12" s="269" t="e">
        <f t="shared" si="8"/>
        <v>#REF!</v>
      </c>
      <c r="K12" s="263" t="e">
        <v>#REF!</v>
      </c>
      <c r="L12" s="267" t="e">
        <f t="shared" si="0"/>
        <v>#REF!</v>
      </c>
      <c r="M12" s="270" t="e">
        <f t="shared" si="1"/>
        <v>#REF!</v>
      </c>
      <c r="N12" s="269" t="e">
        <f t="shared" si="9"/>
        <v>#REF!</v>
      </c>
      <c r="O12" s="263" t="e">
        <v>#REF!</v>
      </c>
      <c r="P12" s="271" t="e">
        <f>O12/K12-1</f>
        <v>#REF!</v>
      </c>
      <c r="Q12" s="270" t="e">
        <f t="shared" si="3"/>
        <v>#REF!</v>
      </c>
      <c r="R12" s="271" t="e">
        <f t="shared" si="12"/>
        <v>#REF!</v>
      </c>
      <c r="S12" s="270" t="e">
        <f t="shared" si="13"/>
        <v>#REF!</v>
      </c>
      <c r="T12" s="269" t="e">
        <f t="shared" si="10"/>
        <v>#REF!</v>
      </c>
      <c r="V12" s="29"/>
      <c r="W12" s="81"/>
      <c r="AE12" s="1"/>
    </row>
    <row r="13" spans="1:31" s="4" customFormat="1" ht="7.5" customHeight="1" x14ac:dyDescent="0.25">
      <c r="B13" s="247"/>
      <c r="C13" s="247"/>
      <c r="D13" s="247"/>
      <c r="E13" s="247"/>
      <c r="F13" s="247"/>
      <c r="G13" s="247"/>
      <c r="H13" s="247"/>
      <c r="I13" s="247"/>
      <c r="J13" s="247"/>
      <c r="K13" s="247"/>
      <c r="L13" s="274"/>
      <c r="M13" s="247"/>
      <c r="N13" s="247"/>
      <c r="O13" s="247"/>
      <c r="P13" s="247"/>
      <c r="Q13" s="247"/>
      <c r="R13" s="247"/>
      <c r="S13" s="247"/>
      <c r="T13" s="247"/>
      <c r="AE13" s="1" t="s">
        <v>182</v>
      </c>
    </row>
    <row r="14" spans="1:31" s="4" customFormat="1" x14ac:dyDescent="0.25">
      <c r="B14" s="172" t="s">
        <v>183</v>
      </c>
      <c r="C14" s="172"/>
      <c r="D14" s="172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AE14" s="1" t="s">
        <v>184</v>
      </c>
    </row>
    <row r="15" spans="1:31" s="4" customFormat="1" x14ac:dyDescent="0.25">
      <c r="AE15" s="1"/>
    </row>
    <row r="19" spans="27:27" x14ac:dyDescent="0.25">
      <c r="AA19" t="str">
        <f>CONCATENATE("Hoteles: 
",FIXED(O7,0)," viajeros 
cuota: ",FIXED(T7*100,1),"%")</f>
        <v>Hoteles: 
44.044 viajeros 
cuota: 100,0%</v>
      </c>
    </row>
    <row r="20" spans="27:27" x14ac:dyDescent="0.25">
      <c r="AA20" t="e">
        <f>CONCATENATE("Apartamentos: 
",FIXED(O10,0)," viajeros
cuota: ",FIXED(T10*100,1),"%")</f>
        <v>#VALUE!</v>
      </c>
    </row>
    <row r="38" spans="2:31" s="4" customFormat="1" ht="15.75" hidden="1" customHeight="1" thickBot="1" x14ac:dyDescent="0.3">
      <c r="B38" s="278" t="s">
        <v>185</v>
      </c>
      <c r="C38" s="278"/>
      <c r="D38" s="278"/>
      <c r="E38" s="278"/>
      <c r="F38" s="278"/>
      <c r="G38" s="278"/>
      <c r="H38" s="278"/>
      <c r="I38" s="278"/>
      <c r="J38" s="278"/>
      <c r="K38" s="278"/>
      <c r="L38" s="278"/>
      <c r="M38" s="278"/>
      <c r="N38" s="278"/>
      <c r="O38" s="278"/>
      <c r="P38" s="278"/>
      <c r="Q38" s="278"/>
      <c r="R38" s="278"/>
      <c r="S38" s="278"/>
      <c r="T38" s="85"/>
      <c r="AE38" s="1"/>
    </row>
    <row r="39" spans="2:31" s="4" customFormat="1" ht="6" hidden="1" customHeight="1" thickBot="1" x14ac:dyDescent="0.3">
      <c r="AE39" s="1"/>
    </row>
    <row r="40" spans="2:31" s="4" customFormat="1" ht="30" hidden="1" x14ac:dyDescent="0.25">
      <c r="C40" s="89"/>
      <c r="D40" s="89"/>
      <c r="E40" s="89"/>
      <c r="F40" s="89"/>
      <c r="G40" s="89"/>
      <c r="H40" s="89"/>
      <c r="I40" s="89"/>
      <c r="J40" s="89"/>
      <c r="K40" s="14">
        <v>2020</v>
      </c>
      <c r="L40" s="14"/>
      <c r="M40" s="14"/>
      <c r="N40" s="14" t="s">
        <v>186</v>
      </c>
      <c r="O40" s="14">
        <v>2021</v>
      </c>
      <c r="P40" s="14" t="s">
        <v>186</v>
      </c>
      <c r="Q40" s="14" t="s">
        <v>187</v>
      </c>
      <c r="R40" s="14" t="s">
        <v>188</v>
      </c>
      <c r="S40" s="14" t="s">
        <v>189</v>
      </c>
      <c r="T40" s="89"/>
      <c r="AE40" s="1"/>
    </row>
    <row r="41" spans="2:31" s="4" customFormat="1" ht="18.75" hidden="1" x14ac:dyDescent="0.3">
      <c r="B41" s="235" t="s">
        <v>173</v>
      </c>
      <c r="C41" s="236"/>
      <c r="D41" s="236"/>
      <c r="E41" s="236"/>
      <c r="F41" s="236"/>
      <c r="G41" s="236"/>
      <c r="H41" s="236"/>
      <c r="I41" s="236"/>
      <c r="J41" s="236"/>
      <c r="K41" s="236">
        <v>1824653</v>
      </c>
      <c r="L41" s="236"/>
      <c r="M41" s="236"/>
      <c r="N41" s="237"/>
      <c r="O41" s="236">
        <v>2354005</v>
      </c>
      <c r="P41" s="237"/>
      <c r="Q41" s="237">
        <v>1</v>
      </c>
      <c r="R41" s="237">
        <v>0.2901110512519367</v>
      </c>
      <c r="S41" s="236">
        <v>529352</v>
      </c>
      <c r="T41" s="248"/>
      <c r="AE41" s="1"/>
    </row>
    <row r="42" spans="2:31" ht="18.75" hidden="1" x14ac:dyDescent="0.3">
      <c r="B42" s="235" t="s">
        <v>174</v>
      </c>
      <c r="C42" s="236"/>
      <c r="D42" s="236"/>
      <c r="E42" s="236"/>
      <c r="F42" s="236"/>
      <c r="G42" s="236"/>
      <c r="H42" s="236"/>
      <c r="I42" s="236"/>
      <c r="J42" s="236"/>
      <c r="K42" s="236">
        <v>603938</v>
      </c>
      <c r="L42" s="236"/>
      <c r="M42" s="236"/>
      <c r="N42" s="237">
        <v>1</v>
      </c>
      <c r="O42" s="236">
        <v>936181</v>
      </c>
      <c r="P42" s="237">
        <v>1</v>
      </c>
      <c r="Q42" s="237">
        <v>0.39769711619134201</v>
      </c>
      <c r="R42" s="237">
        <v>0.55012766211101138</v>
      </c>
      <c r="S42" s="236">
        <v>332243</v>
      </c>
      <c r="T42" s="248"/>
      <c r="AE42" s="1" t="s">
        <v>175</v>
      </c>
    </row>
    <row r="43" spans="2:31" ht="15.75" hidden="1" x14ac:dyDescent="0.25">
      <c r="B43" s="238" t="s">
        <v>102</v>
      </c>
      <c r="C43" s="239"/>
      <c r="D43" s="239"/>
      <c r="E43" s="239"/>
      <c r="F43" s="239"/>
      <c r="G43" s="239"/>
      <c r="H43" s="239"/>
      <c r="I43" s="239"/>
      <c r="J43" s="239"/>
      <c r="K43" s="239">
        <v>276550.36166633503</v>
      </c>
      <c r="L43" s="239"/>
      <c r="M43" s="239"/>
      <c r="N43" s="240">
        <v>0.45791184139155844</v>
      </c>
      <c r="O43" s="239">
        <v>430252.45635520399</v>
      </c>
      <c r="P43" s="240">
        <v>0.4595825554622493</v>
      </c>
      <c r="Q43" s="240">
        <v>0.18277465695918402</v>
      </c>
      <c r="R43" s="240">
        <v>0.55578337978930015</v>
      </c>
      <c r="S43" s="239">
        <v>153702.09468886897</v>
      </c>
      <c r="T43" s="249"/>
      <c r="AE43" s="1" t="s">
        <v>176</v>
      </c>
    </row>
    <row r="44" spans="2:31" s="4" customFormat="1" hidden="1" x14ac:dyDescent="0.25">
      <c r="B44" s="241" t="s">
        <v>105</v>
      </c>
      <c r="C44" s="242"/>
      <c r="D44" s="242"/>
      <c r="E44" s="242"/>
      <c r="F44" s="242"/>
      <c r="G44" s="242"/>
      <c r="H44" s="242"/>
      <c r="I44" s="242"/>
      <c r="J44" s="242"/>
      <c r="K44" s="242">
        <v>327387.63833385095</v>
      </c>
      <c r="L44" s="242"/>
      <c r="M44" s="242"/>
      <c r="N44" s="245">
        <v>0.54208815860874948</v>
      </c>
      <c r="O44" s="242">
        <v>505927.5436448183</v>
      </c>
      <c r="P44" s="245">
        <v>0.54041637636826456</v>
      </c>
      <c r="Q44" s="245">
        <v>0.21492203442423372</v>
      </c>
      <c r="R44" s="243">
        <v>0.54534711884540576</v>
      </c>
      <c r="S44" s="244">
        <v>178539.90531096736</v>
      </c>
      <c r="T44" s="251"/>
      <c r="AE44" s="1" t="s">
        <v>177</v>
      </c>
    </row>
    <row r="45" spans="2:31" s="4" customFormat="1" hidden="1" x14ac:dyDescent="0.25">
      <c r="B45" s="246" t="s">
        <v>178</v>
      </c>
      <c r="C45" s="29"/>
      <c r="D45" s="29"/>
      <c r="E45" s="29"/>
      <c r="F45" s="29"/>
      <c r="G45" s="29"/>
      <c r="H45" s="29"/>
      <c r="I45" s="29"/>
      <c r="J45" s="29"/>
      <c r="K45" s="29">
        <v>242109.12821622068</v>
      </c>
      <c r="L45" s="29"/>
      <c r="M45" s="29"/>
      <c r="N45" s="31">
        <v>0.4008840778626625</v>
      </c>
      <c r="O45" s="29">
        <v>391384.01224089495</v>
      </c>
      <c r="P45" s="31">
        <v>0.41806446855992052</v>
      </c>
      <c r="Q45" s="31">
        <v>0.16626303352834634</v>
      </c>
      <c r="R45" s="22">
        <v>0.61656033014732592</v>
      </c>
      <c r="S45" s="20">
        <v>149274.88402467428</v>
      </c>
      <c r="T45" s="20"/>
      <c r="AE45" s="1" t="s">
        <v>179</v>
      </c>
    </row>
    <row r="46" spans="2:31" s="4" customFormat="1" hidden="1" x14ac:dyDescent="0.25">
      <c r="B46" s="246" t="s">
        <v>180</v>
      </c>
      <c r="C46" s="29"/>
      <c r="D46" s="29"/>
      <c r="E46" s="29"/>
      <c r="F46" s="29"/>
      <c r="G46" s="29"/>
      <c r="H46" s="29"/>
      <c r="I46" s="29"/>
      <c r="J46" s="29"/>
      <c r="K46" s="29">
        <v>85278.510117630256</v>
      </c>
      <c r="L46" s="29"/>
      <c r="M46" s="29"/>
      <c r="N46" s="31">
        <v>0.14120408074608695</v>
      </c>
      <c r="O46" s="29">
        <v>114543.53140392336</v>
      </c>
      <c r="P46" s="31">
        <v>0.12235190780834407</v>
      </c>
      <c r="Q46" s="31">
        <v>4.8659000895887379E-2</v>
      </c>
      <c r="R46" s="22">
        <v>0.34316994100771625</v>
      </c>
      <c r="S46" s="20">
        <v>29265.021286293108</v>
      </c>
      <c r="T46" s="20"/>
      <c r="AE46" s="1" t="s">
        <v>181</v>
      </c>
    </row>
    <row r="47" spans="2:31" s="4" customFormat="1" ht="7.5" hidden="1" customHeight="1" x14ac:dyDescent="0.25">
      <c r="B47" s="247"/>
      <c r="C47" s="247"/>
      <c r="D47" s="247"/>
      <c r="E47" s="247"/>
      <c r="F47" s="247"/>
      <c r="G47" s="247"/>
      <c r="H47" s="247"/>
      <c r="I47" s="247"/>
      <c r="J47" s="247"/>
      <c r="K47" s="247"/>
      <c r="L47" s="247"/>
      <c r="M47" s="247"/>
      <c r="N47" s="247"/>
      <c r="O47" s="247"/>
      <c r="P47" s="247"/>
      <c r="Q47" s="247"/>
      <c r="R47" s="247"/>
      <c r="S47" s="247"/>
      <c r="AE47" s="1" t="s">
        <v>182</v>
      </c>
    </row>
    <row r="48" spans="2:31" s="4" customFormat="1" hidden="1" x14ac:dyDescent="0.25">
      <c r="B48" s="296" t="s">
        <v>183</v>
      </c>
      <c r="C48" s="296"/>
      <c r="D48" s="296"/>
      <c r="E48" s="296"/>
      <c r="F48" s="296"/>
      <c r="G48" s="296"/>
      <c r="H48" s="296"/>
      <c r="I48" s="296"/>
      <c r="J48" s="296"/>
      <c r="K48" s="296"/>
      <c r="L48" s="296"/>
      <c r="M48" s="296"/>
      <c r="N48" s="296"/>
      <c r="O48" s="296"/>
      <c r="P48" s="296"/>
      <c r="Q48" s="296"/>
      <c r="R48" s="296"/>
      <c r="S48" s="296"/>
      <c r="T48" s="49"/>
      <c r="AE48" s="1" t="s">
        <v>184</v>
      </c>
    </row>
    <row r="49" spans="3:31" s="4" customFormat="1" hidden="1" x14ac:dyDescent="0.25">
      <c r="AE49" s="1"/>
    </row>
    <row r="50" spans="3:31" hidden="1" x14ac:dyDescent="0.25">
      <c r="C50" s="126"/>
      <c r="D50" s="126"/>
      <c r="E50" s="126"/>
      <c r="F50" s="126"/>
      <c r="G50" s="126"/>
      <c r="H50" s="126"/>
      <c r="I50" s="126"/>
      <c r="J50" s="126"/>
      <c r="K50" s="126">
        <v>0.54208815860874948</v>
      </c>
      <c r="L50" s="126"/>
      <c r="M50" s="126"/>
    </row>
    <row r="51" spans="3:31" hidden="1" x14ac:dyDescent="0.25"/>
    <row r="52" spans="3:31" hidden="1" x14ac:dyDescent="0.25"/>
    <row r="53" spans="3:31" hidden="1" x14ac:dyDescent="0.25"/>
    <row r="54" spans="3:31" hidden="1" x14ac:dyDescent="0.25"/>
    <row r="55" spans="3:31" hidden="1" x14ac:dyDescent="0.25"/>
    <row r="56" spans="3:31" hidden="1" x14ac:dyDescent="0.25"/>
    <row r="57" spans="3:31" hidden="1" x14ac:dyDescent="0.25"/>
    <row r="58" spans="3:31" hidden="1" x14ac:dyDescent="0.25"/>
    <row r="59" spans="3:31" hidden="1" x14ac:dyDescent="0.25"/>
    <row r="60" spans="3:31" hidden="1" x14ac:dyDescent="0.25"/>
    <row r="61" spans="3:31" hidden="1" x14ac:dyDescent="0.25"/>
    <row r="62" spans="3:31" hidden="1" x14ac:dyDescent="0.25"/>
    <row r="63" spans="3:31" hidden="1" x14ac:dyDescent="0.25"/>
    <row r="64" spans="3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31" spans="1:31" s="4" customFormat="1" ht="25.5" customHeight="1" thickBot="1" x14ac:dyDescent="0.3">
      <c r="B131" s="66" t="s">
        <v>200</v>
      </c>
      <c r="C131" s="66"/>
      <c r="D131" s="66"/>
      <c r="E131" s="66"/>
      <c r="F131" s="66"/>
      <c r="G131" s="66"/>
      <c r="H131" s="66"/>
      <c r="I131" s="66"/>
      <c r="J131" s="66"/>
      <c r="K131" s="66"/>
      <c r="L131" s="66"/>
      <c r="M131" s="66"/>
      <c r="N131" s="66"/>
      <c r="O131" s="66"/>
      <c r="Z131" s="1"/>
    </row>
    <row r="132" spans="1:31" s="4" customFormat="1" ht="6" customHeight="1" x14ac:dyDescent="0.25">
      <c r="Z132" s="1"/>
    </row>
    <row r="133" spans="1:31" s="4" customFormat="1" ht="30" x14ac:dyDescent="0.25">
      <c r="C133" s="186">
        <v>2020</v>
      </c>
      <c r="D133" s="186">
        <v>2021</v>
      </c>
      <c r="E133" s="186">
        <v>2022</v>
      </c>
      <c r="F133" s="186">
        <v>2023</v>
      </c>
      <c r="G133" s="174" t="str">
        <f>CONCATENATE("var. ",RIGHT(F133,2),"/",RIGHT(E133,2))</f>
        <v>var. 23/22</v>
      </c>
      <c r="H133" s="174" t="str">
        <f>CONCATENATE("dif. ",RIGHT(F133,2),"/",RIGHT(E133,2))</f>
        <v>dif. 23/22</v>
      </c>
      <c r="I133" s="253" t="str">
        <f>CONCATENATE("%/s total Tenerife ",RIGHT(F133,4))</f>
        <v>%/s total Tenerife 2023</v>
      </c>
      <c r="J133" s="186">
        <v>2024</v>
      </c>
      <c r="K133" s="253" t="str">
        <f>CONCATENATE("%/s total Tenerife ",RIGHT(J133,4))</f>
        <v>%/s total Tenerife 2024</v>
      </c>
      <c r="L133" s="174" t="str">
        <f>CONCATENATE("var. ",RIGHT(J133,2),"/",RIGHT(F133,2))</f>
        <v>var. 24/23</v>
      </c>
      <c r="M133" s="174" t="str">
        <f>CONCATENATE("dif. ",RIGHT(J133,2),"/",RIGHT(F133,2))</f>
        <v>dif. 24/23</v>
      </c>
      <c r="N133" s="174" t="str">
        <f>CONCATENATE("var. ",RIGHT(J133,2),"/",RIGHT(D133,2))</f>
        <v>var. 24/21</v>
      </c>
      <c r="O133" s="174" t="str">
        <f>CONCATENATE("dif. ",RIGHT(J133,2),"/",RIGHT(D133,2))</f>
        <v>dif. 24/21</v>
      </c>
      <c r="Z133" s="1"/>
    </row>
    <row r="134" spans="1:31" ht="18.75" x14ac:dyDescent="0.3">
      <c r="A134" s="4"/>
      <c r="B134" s="235" t="s">
        <v>199</v>
      </c>
      <c r="C134" s="239">
        <v>27791</v>
      </c>
      <c r="D134" s="239">
        <v>53247</v>
      </c>
      <c r="E134" s="239">
        <v>69865</v>
      </c>
      <c r="F134" s="239">
        <v>66121</v>
      </c>
      <c r="G134" s="240">
        <f>F134/E134-1</f>
        <v>-5.3589064624633198E-2</v>
      </c>
      <c r="H134" s="239">
        <f>F134-E134</f>
        <v>-3744</v>
      </c>
      <c r="I134" s="240">
        <f>F134/F$134</f>
        <v>1</v>
      </c>
      <c r="J134" s="239">
        <v>75793</v>
      </c>
      <c r="K134" s="240">
        <f>J134/J$134</f>
        <v>1</v>
      </c>
      <c r="L134" s="240">
        <f>J134/F134-1</f>
        <v>0.14627727953297742</v>
      </c>
      <c r="M134" s="239">
        <f>J134-F134</f>
        <v>9672</v>
      </c>
      <c r="N134" s="240">
        <f>J134/D134-1</f>
        <v>0.42342291584502423</v>
      </c>
      <c r="O134" s="239">
        <f>J134-D134</f>
        <v>22546</v>
      </c>
      <c r="Q134" s="29"/>
      <c r="R134" s="81"/>
      <c r="Z134" s="1" t="s">
        <v>175</v>
      </c>
      <c r="AE134"/>
    </row>
    <row r="135" spans="1:31" s="4" customFormat="1" x14ac:dyDescent="0.25">
      <c r="B135" s="256" t="s">
        <v>192</v>
      </c>
      <c r="C135" s="257">
        <v>27791</v>
      </c>
      <c r="D135" s="257">
        <v>53247</v>
      </c>
      <c r="E135" s="257">
        <v>69865</v>
      </c>
      <c r="F135" s="257">
        <v>66121</v>
      </c>
      <c r="G135" s="261">
        <f>IFERROR(F135/E135-1,"-")</f>
        <v>-5.3589064624633198E-2</v>
      </c>
      <c r="H135" s="257">
        <f t="shared" ref="H135:H138" si="14">F135-E135</f>
        <v>-3744</v>
      </c>
      <c r="I135" s="259">
        <f>F135/F$134</f>
        <v>1</v>
      </c>
      <c r="J135" s="257">
        <v>75793</v>
      </c>
      <c r="K135" s="258">
        <f t="shared" ref="K135:K138" si="15">J135/J$134</f>
        <v>1</v>
      </c>
      <c r="L135" s="259">
        <f t="shared" ref="L135:L138" si="16">J135/F135-1</f>
        <v>0.14627727953297742</v>
      </c>
      <c r="M135" s="260">
        <f t="shared" ref="M135:M138" si="17">J135-F135</f>
        <v>9672</v>
      </c>
      <c r="N135" s="258">
        <f t="shared" ref="N135:N138" si="18">J135/D135-1</f>
        <v>0.42342291584502423</v>
      </c>
      <c r="O135" s="257">
        <f t="shared" ref="O135:O138" si="19">J135-D135</f>
        <v>22546</v>
      </c>
      <c r="Q135" s="29"/>
      <c r="R135" s="81"/>
      <c r="Z135" s="1" t="s">
        <v>177</v>
      </c>
    </row>
    <row r="136" spans="1:31" s="4" customFormat="1" x14ac:dyDescent="0.25">
      <c r="B136" s="99" t="s">
        <v>64</v>
      </c>
      <c r="C136" s="263">
        <v>11647</v>
      </c>
      <c r="D136" s="263">
        <v>15693</v>
      </c>
      <c r="E136" s="263">
        <v>29334</v>
      </c>
      <c r="F136" s="263">
        <v>29429</v>
      </c>
      <c r="G136" s="267">
        <f t="shared" ref="G136:G138" si="20">IFERROR(F136/E136-1,"-")</f>
        <v>3.2385627599371691E-3</v>
      </c>
      <c r="H136" s="263">
        <f t="shared" si="14"/>
        <v>95</v>
      </c>
      <c r="I136" s="271">
        <f t="shared" ref="I136:I138" si="21">F136/F$134</f>
        <v>0.44507796312820436</v>
      </c>
      <c r="J136" s="263">
        <v>38467</v>
      </c>
      <c r="K136" s="269">
        <f t="shared" si="15"/>
        <v>0.50752708033723426</v>
      </c>
      <c r="L136" s="271">
        <f t="shared" si="16"/>
        <v>0.3071120323490435</v>
      </c>
      <c r="M136" s="270">
        <f t="shared" si="17"/>
        <v>9038</v>
      </c>
      <c r="N136" s="269">
        <f t="shared" si="18"/>
        <v>1.451220289300962</v>
      </c>
      <c r="O136" s="263">
        <f t="shared" si="19"/>
        <v>22774</v>
      </c>
      <c r="Q136" s="29"/>
      <c r="R136" s="81"/>
      <c r="Z136" s="1"/>
    </row>
    <row r="137" spans="1:31" s="4" customFormat="1" x14ac:dyDescent="0.25">
      <c r="B137" s="99" t="s">
        <v>63</v>
      </c>
      <c r="C137" s="263">
        <v>16144</v>
      </c>
      <c r="D137" s="263">
        <v>37554</v>
      </c>
      <c r="E137" s="263">
        <v>40531</v>
      </c>
      <c r="F137" s="263">
        <v>36692</v>
      </c>
      <c r="G137" s="265">
        <f t="shared" si="20"/>
        <v>-9.4717623547408203E-2</v>
      </c>
      <c r="H137" s="263">
        <f t="shared" si="14"/>
        <v>-3839</v>
      </c>
      <c r="I137" s="275">
        <f t="shared" si="21"/>
        <v>0.55492203687179564</v>
      </c>
      <c r="J137" s="263">
        <v>37326</v>
      </c>
      <c r="K137" s="269">
        <f t="shared" si="15"/>
        <v>0.49247291966276568</v>
      </c>
      <c r="L137" s="271">
        <f t="shared" si="16"/>
        <v>1.7278970892837586E-2</v>
      </c>
      <c r="M137" s="270">
        <f t="shared" si="17"/>
        <v>634</v>
      </c>
      <c r="N137" s="269">
        <f t="shared" si="18"/>
        <v>-6.0712573893593191E-3</v>
      </c>
      <c r="O137" s="263">
        <f t="shared" si="19"/>
        <v>-228</v>
      </c>
      <c r="Q137" s="29"/>
      <c r="R137" s="81"/>
      <c r="Z137" s="1"/>
    </row>
    <row r="138" spans="1:31" s="4" customFormat="1" x14ac:dyDescent="0.25">
      <c r="B138" s="256" t="s">
        <v>193</v>
      </c>
      <c r="C138" s="257" t="e">
        <v>#REF!</v>
      </c>
      <c r="D138" s="257" t="e">
        <v>#REF!</v>
      </c>
      <c r="E138" s="257" t="e">
        <v>#REF!</v>
      </c>
      <c r="F138" s="257" t="e">
        <v>#REF!</v>
      </c>
      <c r="G138" s="261" t="str">
        <f t="shared" si="20"/>
        <v>-</v>
      </c>
      <c r="H138" s="257" t="e">
        <f t="shared" si="14"/>
        <v>#REF!</v>
      </c>
      <c r="I138" s="259" t="e">
        <f t="shared" si="21"/>
        <v>#REF!</v>
      </c>
      <c r="J138" s="257" t="e">
        <v>#REF!</v>
      </c>
      <c r="K138" s="258" t="e">
        <f t="shared" si="15"/>
        <v>#REF!</v>
      </c>
      <c r="L138" s="259" t="e">
        <f t="shared" si="16"/>
        <v>#REF!</v>
      </c>
      <c r="M138" s="260" t="e">
        <f t="shared" si="17"/>
        <v>#REF!</v>
      </c>
      <c r="N138" s="258" t="e">
        <f t="shared" si="18"/>
        <v>#REF!</v>
      </c>
      <c r="O138" s="257" t="e">
        <f t="shared" si="19"/>
        <v>#REF!</v>
      </c>
      <c r="Q138" s="29"/>
      <c r="R138" s="81"/>
      <c r="Z138" s="1"/>
    </row>
    <row r="139" spans="1:31" s="4" customFormat="1" ht="7.5" customHeight="1" x14ac:dyDescent="0.25">
      <c r="B139" s="247"/>
      <c r="C139" s="247"/>
      <c r="D139" s="247"/>
      <c r="E139" s="247"/>
      <c r="F139" s="247"/>
      <c r="G139" s="247"/>
      <c r="H139" s="247"/>
      <c r="I139" s="247"/>
      <c r="J139" s="247"/>
      <c r="K139" s="247"/>
      <c r="L139" s="247"/>
      <c r="M139" s="247"/>
      <c r="N139" s="247"/>
      <c r="O139" s="247"/>
      <c r="Z139" s="1" t="s">
        <v>182</v>
      </c>
    </row>
    <row r="140" spans="1:31" s="4" customFormat="1" ht="32.25" customHeight="1" x14ac:dyDescent="0.25">
      <c r="B140" s="319" t="s">
        <v>196</v>
      </c>
      <c r="C140" s="319"/>
      <c r="D140" s="319"/>
      <c r="E140" s="319"/>
      <c r="F140" s="319"/>
      <c r="G140" s="319"/>
      <c r="H140" s="319"/>
      <c r="I140" s="319"/>
      <c r="J140" s="319"/>
      <c r="K140" s="319"/>
      <c r="L140" s="319"/>
      <c r="M140" s="319"/>
      <c r="N140" s="319"/>
      <c r="O140" s="319"/>
      <c r="Z140" s="1" t="s">
        <v>184</v>
      </c>
    </row>
    <row r="141" spans="1:31" x14ac:dyDescent="0.25">
      <c r="Z141" s="1"/>
      <c r="AE141"/>
    </row>
    <row r="142" spans="1:31" x14ac:dyDescent="0.25">
      <c r="Z142" s="1"/>
      <c r="AE142"/>
    </row>
  </sheetData>
  <mergeCells count="3">
    <mergeCell ref="B38:S38"/>
    <mergeCell ref="B48:S48"/>
    <mergeCell ref="B140:O140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81F384-620C-403C-9786-410134112961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201</v>
      </c>
      <c r="G1" s="234"/>
      <c r="H1" s="234"/>
      <c r="I1" s="234"/>
      <c r="K1" s="234"/>
    </row>
    <row r="3" spans="1:31" s="4" customFormat="1" ht="25.5" customHeight="1" thickBot="1" x14ac:dyDescent="0.3">
      <c r="B3" s="66" t="s">
        <v>29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2" t="s">
        <v>259</v>
      </c>
      <c r="D5" s="252" t="s">
        <v>260</v>
      </c>
      <c r="E5" s="252" t="s">
        <v>261</v>
      </c>
      <c r="F5" s="253" t="str">
        <f>CONCATENATE("%/s total Tenerife ",RIGHT(E5,4))</f>
        <v>%/s total Tenerife 2022</v>
      </c>
      <c r="G5" s="252" t="s">
        <v>262</v>
      </c>
      <c r="H5" s="253" t="str">
        <f>CONCATENATE("var. ",RIGHT(G5,2),"/",RIGHT(E5,2))</f>
        <v>var. 23/22</v>
      </c>
      <c r="I5" s="253" t="str">
        <f>CONCATENATE("dif. ",RIGHT(G5,2),"/",RIGHT(E5,2))</f>
        <v>dif. 23/22</v>
      </c>
      <c r="J5" s="253" t="str">
        <f>CONCATENATE("%/s total Tenerife ",RIGHT(G5,4))</f>
        <v>%/s total Tenerife 2023</v>
      </c>
      <c r="K5" s="252" t="s">
        <v>263</v>
      </c>
      <c r="L5" s="253" t="str">
        <f>CONCATENATE("var. ",RIGHT(K5,2),"/",RIGHT(G5,2))</f>
        <v>var. 24/23</v>
      </c>
      <c r="M5" s="253" t="str">
        <f>CONCATENATE("dif. ",RIGHT(K5,2),"/",RIGHT(G5,2))</f>
        <v>dif. 24/23</v>
      </c>
      <c r="N5" s="253" t="str">
        <f>CONCATENATE("%/s total Tenerife ",RIGHT(K5,4))</f>
        <v>%/s total Tenerife 2024</v>
      </c>
      <c r="O5" s="252" t="s">
        <v>264</v>
      </c>
      <c r="P5" s="253" t="str">
        <f>CONCATENATE("var. ",RIGHT(O5,2),"/",RIGHT(K5,2))</f>
        <v>var. 25/24</v>
      </c>
      <c r="Q5" s="253" t="str">
        <f>CONCATENATE("dif. ",RIGHT(O5,2),"/",RIGHT(K5,2))</f>
        <v>dif. 25/24</v>
      </c>
      <c r="R5" s="253" t="str">
        <f>CONCATENATE("var. ",RIGHT(O5,2),"/",RIGHT(C5,2))</f>
        <v>var. 25/20</v>
      </c>
      <c r="S5" s="253" t="str">
        <f>CONCATENATE("dif. ",RIGHT(O5,2),"/",RIGHT(C5,2))</f>
        <v>dif. 25/20</v>
      </c>
      <c r="T5" s="253" t="str">
        <f>CONCATENATE("%/s total Tenerife ",RIGHT(O5,4))</f>
        <v>%/s total Tenerife 2025</v>
      </c>
      <c r="AE5" s="1"/>
    </row>
    <row r="6" spans="1:31" ht="18.75" x14ac:dyDescent="0.3">
      <c r="A6" s="4"/>
      <c r="B6" s="235" t="s">
        <v>202</v>
      </c>
      <c r="C6" s="254">
        <v>144600</v>
      </c>
      <c r="D6" s="254">
        <v>273158</v>
      </c>
      <c r="E6" s="254">
        <v>447228</v>
      </c>
      <c r="F6" s="255">
        <f>E6/$E$6</f>
        <v>1</v>
      </c>
      <c r="G6" s="254">
        <v>487504</v>
      </c>
      <c r="H6" s="255">
        <f>G6/E6-1</f>
        <v>9.0056973176992461E-2</v>
      </c>
      <c r="I6" s="254">
        <f>G6-E6</f>
        <v>40276</v>
      </c>
      <c r="J6" s="255">
        <f>G6/$G$6</f>
        <v>1</v>
      </c>
      <c r="K6" s="254">
        <v>481191</v>
      </c>
      <c r="L6" s="255">
        <f>K6/G6-1</f>
        <v>-1.294963733630905E-2</v>
      </c>
      <c r="M6" s="254">
        <f>K6-G6</f>
        <v>-6313</v>
      </c>
      <c r="N6" s="255">
        <f>K6/$K$6</f>
        <v>1</v>
      </c>
      <c r="O6" s="254">
        <v>480637</v>
      </c>
      <c r="P6" s="255">
        <f>O6/K6-1</f>
        <v>-1.1513099787817671E-3</v>
      </c>
      <c r="Q6" s="254">
        <f>O6-K6</f>
        <v>-554</v>
      </c>
      <c r="R6" s="255">
        <f>IFERROR(O6/C6-1,"-")</f>
        <v>2.3239073305670814</v>
      </c>
      <c r="S6" s="254">
        <f>O6-C6</f>
        <v>336037</v>
      </c>
      <c r="T6" s="255">
        <f>O6/$O$6</f>
        <v>1</v>
      </c>
      <c r="V6" s="29"/>
      <c r="W6" s="81"/>
      <c r="AE6" s="1" t="s">
        <v>175</v>
      </c>
    </row>
    <row r="7" spans="1:31" s="4" customFormat="1" x14ac:dyDescent="0.25">
      <c r="B7" s="246" t="s">
        <v>46</v>
      </c>
      <c r="C7" s="263">
        <v>20277</v>
      </c>
      <c r="D7" s="263">
        <v>95817</v>
      </c>
      <c r="E7" s="263">
        <v>88551</v>
      </c>
      <c r="F7" s="269">
        <f t="shared" ref="F7:F16" si="0">E7/$E$6</f>
        <v>0.19799967801658214</v>
      </c>
      <c r="G7" s="263">
        <v>80662</v>
      </c>
      <c r="H7" s="271">
        <f>G7/E7-1</f>
        <v>-8.9089902993754966E-2</v>
      </c>
      <c r="I7" s="270">
        <f>G7-E7</f>
        <v>-7889</v>
      </c>
      <c r="J7" s="269">
        <f>G7/$G$6</f>
        <v>0.16545915520693164</v>
      </c>
      <c r="K7" s="263">
        <v>69210</v>
      </c>
      <c r="L7" s="271">
        <f>K7/G7-1</f>
        <v>-0.14197515558751328</v>
      </c>
      <c r="M7" s="270">
        <f>K7-G7</f>
        <v>-11452</v>
      </c>
      <c r="N7" s="269">
        <f>K7/$K$6</f>
        <v>0.14383062027344651</v>
      </c>
      <c r="O7" s="263">
        <v>63041</v>
      </c>
      <c r="P7" s="271">
        <f>O7/K7-1</f>
        <v>-8.9134518133217711E-2</v>
      </c>
      <c r="Q7" s="270">
        <f>O7-K7</f>
        <v>-6169</v>
      </c>
      <c r="R7" s="271">
        <f t="shared" ref="R7:R16" si="1">IFERROR(O7/C7-1,"-")</f>
        <v>2.1089904818267002</v>
      </c>
      <c r="S7" s="270">
        <f t="shared" ref="S7:S16" si="2">O7-C7</f>
        <v>42764</v>
      </c>
      <c r="T7" s="269">
        <f>O7/$O$6</f>
        <v>0.13116135461897441</v>
      </c>
      <c r="V7" s="29"/>
      <c r="W7" s="81"/>
      <c r="AE7" s="1" t="s">
        <v>177</v>
      </c>
    </row>
    <row r="8" spans="1:31" s="4" customFormat="1" x14ac:dyDescent="0.25">
      <c r="B8" s="246" t="s">
        <v>47</v>
      </c>
      <c r="C8" s="263">
        <v>13953</v>
      </c>
      <c r="D8" s="263">
        <v>26737</v>
      </c>
      <c r="E8" s="263">
        <v>51285</v>
      </c>
      <c r="F8" s="269">
        <f t="shared" si="0"/>
        <v>0.11467305267112077</v>
      </c>
      <c r="G8" s="263">
        <v>49212</v>
      </c>
      <c r="H8" s="271">
        <f t="shared" ref="H8:H16" si="3">G8/E8-1</f>
        <v>-4.042117578239246E-2</v>
      </c>
      <c r="I8" s="270">
        <f t="shared" ref="I8:I16" si="4">G8-E8</f>
        <v>-2073</v>
      </c>
      <c r="J8" s="269">
        <f t="shared" ref="J8:J16" si="5">G8/$G$6</f>
        <v>0.10094686402573107</v>
      </c>
      <c r="K8" s="263">
        <v>46569</v>
      </c>
      <c r="L8" s="271">
        <f t="shared" ref="L8:L16" si="6">K8/G8-1</f>
        <v>-5.3706413069982917E-2</v>
      </c>
      <c r="M8" s="270">
        <f t="shared" ref="M8:M16" si="7">K8-G8</f>
        <v>-2643</v>
      </c>
      <c r="N8" s="269">
        <f t="shared" ref="N8:N16" si="8">K8/$K$6</f>
        <v>9.677861805395363E-2</v>
      </c>
      <c r="O8" s="263">
        <v>49677</v>
      </c>
      <c r="P8" s="271">
        <f t="shared" ref="P8:P16" si="9">O8/K8-1</f>
        <v>6.6739676608903009E-2</v>
      </c>
      <c r="Q8" s="270">
        <f t="shared" ref="Q8:Q16" si="10">O8-K8</f>
        <v>3108</v>
      </c>
      <c r="R8" s="271">
        <f t="shared" si="1"/>
        <v>2.5603096108363794</v>
      </c>
      <c r="S8" s="270">
        <f t="shared" si="2"/>
        <v>35724</v>
      </c>
      <c r="T8" s="269">
        <f t="shared" ref="T8:T16" si="11">O8/$O$6</f>
        <v>0.10335658719574231</v>
      </c>
      <c r="V8" s="29"/>
      <c r="W8" s="81"/>
      <c r="AE8" s="1"/>
    </row>
    <row r="9" spans="1:31" s="4" customFormat="1" x14ac:dyDescent="0.25">
      <c r="B9" s="246" t="s">
        <v>48</v>
      </c>
      <c r="C9" s="263">
        <v>1123</v>
      </c>
      <c r="D9" s="263">
        <v>1502</v>
      </c>
      <c r="E9" s="263">
        <v>2015</v>
      </c>
      <c r="F9" s="264">
        <f t="shared" si="0"/>
        <v>4.5055318539984077E-3</v>
      </c>
      <c r="G9" s="263">
        <v>12065</v>
      </c>
      <c r="H9" s="275">
        <f t="shared" si="3"/>
        <v>4.9875930521091814</v>
      </c>
      <c r="I9" s="266">
        <f t="shared" si="4"/>
        <v>10050</v>
      </c>
      <c r="J9" s="264">
        <f t="shared" si="5"/>
        <v>2.474851488398044E-2</v>
      </c>
      <c r="K9" s="263">
        <v>6319</v>
      </c>
      <c r="L9" s="271">
        <f t="shared" si="6"/>
        <v>-0.47625362619146294</v>
      </c>
      <c r="M9" s="270">
        <f t="shared" si="7"/>
        <v>-5746</v>
      </c>
      <c r="N9" s="269">
        <f t="shared" si="8"/>
        <v>1.3131999559426507E-2</v>
      </c>
      <c r="O9" s="263">
        <v>4389</v>
      </c>
      <c r="P9" s="271">
        <f t="shared" si="9"/>
        <v>-0.30542807406235162</v>
      </c>
      <c r="Q9" s="270">
        <f t="shared" si="10"/>
        <v>-1930</v>
      </c>
      <c r="R9" s="271">
        <f t="shared" si="1"/>
        <v>2.908281389136242</v>
      </c>
      <c r="S9" s="270">
        <f t="shared" si="2"/>
        <v>3266</v>
      </c>
      <c r="T9" s="269">
        <f t="shared" si="11"/>
        <v>9.1316315639453482E-3</v>
      </c>
      <c r="V9" s="29"/>
      <c r="W9" s="81"/>
      <c r="AE9" s="1"/>
    </row>
    <row r="10" spans="1:31" s="4" customFormat="1" x14ac:dyDescent="0.25">
      <c r="B10" s="246" t="s">
        <v>50</v>
      </c>
      <c r="C10" s="263">
        <v>47060</v>
      </c>
      <c r="D10" s="263">
        <v>39171</v>
      </c>
      <c r="E10" s="263">
        <v>153117</v>
      </c>
      <c r="F10" s="269">
        <f t="shared" si="0"/>
        <v>0.34236899299686069</v>
      </c>
      <c r="G10" s="263">
        <v>165380</v>
      </c>
      <c r="H10" s="271">
        <f t="shared" si="3"/>
        <v>8.0089082205111017E-2</v>
      </c>
      <c r="I10" s="270">
        <f t="shared" si="4"/>
        <v>12263</v>
      </c>
      <c r="J10" s="269">
        <f t="shared" si="5"/>
        <v>0.33923824214775672</v>
      </c>
      <c r="K10" s="263">
        <v>177175</v>
      </c>
      <c r="L10" s="271">
        <f t="shared" si="6"/>
        <v>7.1320594993348641E-2</v>
      </c>
      <c r="M10" s="270">
        <f t="shared" si="7"/>
        <v>11795</v>
      </c>
      <c r="N10" s="269">
        <f t="shared" si="8"/>
        <v>0.36820098464019485</v>
      </c>
      <c r="O10" s="263">
        <v>181105</v>
      </c>
      <c r="P10" s="271">
        <f t="shared" si="9"/>
        <v>2.2181459009454008E-2</v>
      </c>
      <c r="Q10" s="270">
        <f t="shared" si="10"/>
        <v>3930</v>
      </c>
      <c r="R10" s="271">
        <f t="shared" si="1"/>
        <v>2.8483850403739908</v>
      </c>
      <c r="S10" s="270">
        <f t="shared" si="2"/>
        <v>134045</v>
      </c>
      <c r="T10" s="269">
        <f>O10/$O$6</f>
        <v>0.37680203563188019</v>
      </c>
      <c r="V10" s="29"/>
      <c r="W10" s="81"/>
      <c r="AE10" s="1"/>
    </row>
    <row r="11" spans="1:31" s="4" customFormat="1" x14ac:dyDescent="0.25">
      <c r="B11" s="246" t="s">
        <v>52</v>
      </c>
      <c r="C11" s="263">
        <v>7208</v>
      </c>
      <c r="D11" s="263">
        <v>19665</v>
      </c>
      <c r="E11" s="263">
        <v>19181</v>
      </c>
      <c r="F11" s="264">
        <f t="shared" si="0"/>
        <v>4.2888638457341671E-2</v>
      </c>
      <c r="G11" s="263">
        <v>24592</v>
      </c>
      <c r="H11" s="275">
        <f t="shared" si="3"/>
        <v>0.28210208018351501</v>
      </c>
      <c r="I11" s="266">
        <f t="shared" si="4"/>
        <v>5411</v>
      </c>
      <c r="J11" s="264">
        <f t="shared" si="5"/>
        <v>5.0444714299780105E-2</v>
      </c>
      <c r="K11" s="263">
        <v>22839</v>
      </c>
      <c r="L11" s="271">
        <f t="shared" si="6"/>
        <v>-7.1283344176968133E-2</v>
      </c>
      <c r="M11" s="270">
        <f t="shared" si="7"/>
        <v>-1753</v>
      </c>
      <c r="N11" s="269">
        <f t="shared" si="8"/>
        <v>4.7463481237180249E-2</v>
      </c>
      <c r="O11" s="263">
        <v>25193</v>
      </c>
      <c r="P11" s="271">
        <f t="shared" si="9"/>
        <v>0.1030693112658172</v>
      </c>
      <c r="Q11" s="270">
        <f t="shared" si="10"/>
        <v>2354</v>
      </c>
      <c r="R11" s="271">
        <f t="shared" si="1"/>
        <v>2.4951442841287457</v>
      </c>
      <c r="S11" s="270">
        <f t="shared" si="2"/>
        <v>17985</v>
      </c>
      <c r="T11" s="269">
        <f t="shared" si="11"/>
        <v>5.241585645715998E-2</v>
      </c>
      <c r="V11" s="29"/>
      <c r="W11" s="81"/>
      <c r="AE11" s="1"/>
    </row>
    <row r="12" spans="1:31" s="4" customFormat="1" x14ac:dyDescent="0.25">
      <c r="B12" s="246" t="s">
        <v>53</v>
      </c>
      <c r="C12" s="263">
        <v>26940</v>
      </c>
      <c r="D12" s="263">
        <v>38654</v>
      </c>
      <c r="E12" s="263">
        <v>62976</v>
      </c>
      <c r="F12" s="269">
        <f t="shared" si="0"/>
        <v>0.14081408140814081</v>
      </c>
      <c r="G12" s="263">
        <v>76465</v>
      </c>
      <c r="H12" s="271">
        <f t="shared" si="3"/>
        <v>0.21419270833333326</v>
      </c>
      <c r="I12" s="270">
        <f t="shared" si="4"/>
        <v>13489</v>
      </c>
      <c r="J12" s="269">
        <f t="shared" si="5"/>
        <v>0.15684999507696348</v>
      </c>
      <c r="K12" s="263">
        <v>75937</v>
      </c>
      <c r="L12" s="271">
        <f t="shared" si="6"/>
        <v>-6.9051199895376891E-3</v>
      </c>
      <c r="M12" s="270">
        <f t="shared" si="7"/>
        <v>-528</v>
      </c>
      <c r="N12" s="269">
        <f t="shared" si="8"/>
        <v>0.15781051599053184</v>
      </c>
      <c r="O12" s="263">
        <v>87725</v>
      </c>
      <c r="P12" s="271">
        <f t="shared" si="9"/>
        <v>0.1552339439272028</v>
      </c>
      <c r="Q12" s="270">
        <f t="shared" si="10"/>
        <v>11788</v>
      </c>
      <c r="R12" s="271">
        <f t="shared" si="1"/>
        <v>2.2563103192279139</v>
      </c>
      <c r="S12" s="270">
        <f t="shared" si="2"/>
        <v>60785</v>
      </c>
      <c r="T12" s="269">
        <f t="shared" si="11"/>
        <v>0.18251819980567455</v>
      </c>
      <c r="V12" s="29"/>
      <c r="W12" s="81"/>
      <c r="AE12" s="1"/>
    </row>
    <row r="13" spans="1:31" s="4" customFormat="1" x14ac:dyDescent="0.25">
      <c r="B13" s="246" t="s">
        <v>51</v>
      </c>
      <c r="C13" s="263">
        <v>7454</v>
      </c>
      <c r="D13" s="263">
        <v>7418</v>
      </c>
      <c r="E13" s="263">
        <v>15383</v>
      </c>
      <c r="F13" s="264">
        <f t="shared" si="0"/>
        <v>3.4396325811442932E-2</v>
      </c>
      <c r="G13" s="263">
        <v>19920</v>
      </c>
      <c r="H13" s="275">
        <f t="shared" si="3"/>
        <v>0.29493596827666901</v>
      </c>
      <c r="I13" s="266">
        <f t="shared" si="4"/>
        <v>4537</v>
      </c>
      <c r="J13" s="264">
        <f t="shared" si="5"/>
        <v>4.0861203190127669E-2</v>
      </c>
      <c r="K13" s="263">
        <v>16896</v>
      </c>
      <c r="L13" s="271">
        <f t="shared" si="6"/>
        <v>-0.15180722891566267</v>
      </c>
      <c r="M13" s="270">
        <f t="shared" si="7"/>
        <v>-3024</v>
      </c>
      <c r="N13" s="269">
        <f t="shared" si="8"/>
        <v>3.5112876175988329E-2</v>
      </c>
      <c r="O13" s="263">
        <v>16644</v>
      </c>
      <c r="P13" s="271">
        <f t="shared" si="9"/>
        <v>-1.4914772727272707E-2</v>
      </c>
      <c r="Q13" s="270">
        <f t="shared" si="10"/>
        <v>-252</v>
      </c>
      <c r="R13" s="271">
        <f t="shared" si="1"/>
        <v>1.2328950898846256</v>
      </c>
      <c r="S13" s="270">
        <f t="shared" si="2"/>
        <v>9190</v>
      </c>
      <c r="T13" s="269">
        <f t="shared" si="11"/>
        <v>3.4629044372364172E-2</v>
      </c>
      <c r="V13" s="29"/>
      <c r="W13" s="81"/>
      <c r="AE13" s="1"/>
    </row>
    <row r="14" spans="1:31" s="4" customFormat="1" x14ac:dyDescent="0.25">
      <c r="B14" s="246" t="s">
        <v>54</v>
      </c>
      <c r="C14" s="263">
        <v>2629</v>
      </c>
      <c r="D14" s="263">
        <v>19690</v>
      </c>
      <c r="E14" s="263">
        <v>11499</v>
      </c>
      <c r="F14" s="269">
        <f t="shared" si="0"/>
        <v>2.5711717513214737E-2</v>
      </c>
      <c r="G14" s="263">
        <v>14533</v>
      </c>
      <c r="H14" s="271">
        <f t="shared" si="3"/>
        <v>0.26384903035046525</v>
      </c>
      <c r="I14" s="270">
        <f t="shared" si="4"/>
        <v>3034</v>
      </c>
      <c r="J14" s="269">
        <f t="shared" si="5"/>
        <v>2.9811037447897863E-2</v>
      </c>
      <c r="K14" s="263">
        <v>11038</v>
      </c>
      <c r="L14" s="271">
        <f t="shared" si="6"/>
        <v>-0.24048716713686091</v>
      </c>
      <c r="M14" s="270">
        <f t="shared" si="7"/>
        <v>-3495</v>
      </c>
      <c r="N14" s="269">
        <f t="shared" si="8"/>
        <v>2.2938916147641996E-2</v>
      </c>
      <c r="O14" s="263">
        <v>9469</v>
      </c>
      <c r="P14" s="271">
        <f t="shared" si="9"/>
        <v>-0.14214531618046744</v>
      </c>
      <c r="Q14" s="270">
        <f t="shared" si="10"/>
        <v>-1569</v>
      </c>
      <c r="R14" s="271">
        <f t="shared" si="1"/>
        <v>2.6017497147204258</v>
      </c>
      <c r="S14" s="270">
        <f t="shared" si="2"/>
        <v>6840</v>
      </c>
      <c r="T14" s="269">
        <f t="shared" si="11"/>
        <v>1.970093854613773E-2</v>
      </c>
      <c r="V14" s="29"/>
      <c r="W14" s="81"/>
      <c r="AE14" s="1"/>
    </row>
    <row r="15" spans="1:31" s="4" customFormat="1" x14ac:dyDescent="0.25">
      <c r="B15" s="246" t="s">
        <v>49</v>
      </c>
      <c r="C15" s="263">
        <v>5545</v>
      </c>
      <c r="D15" s="263">
        <v>8975</v>
      </c>
      <c r="E15" s="263">
        <v>15319</v>
      </c>
      <c r="F15" s="264">
        <f t="shared" si="0"/>
        <v>3.4253222070174498E-2</v>
      </c>
      <c r="G15" s="263">
        <v>15555</v>
      </c>
      <c r="H15" s="275">
        <f t="shared" si="3"/>
        <v>1.5405705333246367E-2</v>
      </c>
      <c r="I15" s="266">
        <f t="shared" si="4"/>
        <v>236</v>
      </c>
      <c r="J15" s="264">
        <f t="shared" si="5"/>
        <v>3.1907430503134333E-2</v>
      </c>
      <c r="K15" s="263">
        <v>28730</v>
      </c>
      <c r="L15" s="271">
        <f t="shared" si="6"/>
        <v>0.84699453551912574</v>
      </c>
      <c r="M15" s="270">
        <f t="shared" si="7"/>
        <v>13175</v>
      </c>
      <c r="N15" s="269">
        <f t="shared" si="8"/>
        <v>5.9706021101807803E-2</v>
      </c>
      <c r="O15" s="263">
        <v>19172</v>
      </c>
      <c r="P15" s="271">
        <f t="shared" si="9"/>
        <v>-0.33268360598677338</v>
      </c>
      <c r="Q15" s="270">
        <f t="shared" si="10"/>
        <v>-9558</v>
      </c>
      <c r="R15" s="271">
        <f t="shared" si="1"/>
        <v>2.4575293056807936</v>
      </c>
      <c r="S15" s="270">
        <f t="shared" si="2"/>
        <v>13627</v>
      </c>
      <c r="T15" s="269">
        <f t="shared" si="11"/>
        <v>3.98887309965733E-2</v>
      </c>
      <c r="V15" s="29"/>
      <c r="W15" s="81"/>
      <c r="AE15" s="1"/>
    </row>
    <row r="16" spans="1:31" s="4" customFormat="1" x14ac:dyDescent="0.25">
      <c r="B16" s="246" t="s">
        <v>203</v>
      </c>
      <c r="C16" s="263">
        <f>C6-SUM(C7:C15)</f>
        <v>12411</v>
      </c>
      <c r="D16" s="263">
        <f>D6-SUM(D7:D15)</f>
        <v>15529</v>
      </c>
      <c r="E16" s="263">
        <f>E6-SUM(E7:E15)</f>
        <v>27902</v>
      </c>
      <c r="F16" s="269">
        <f t="shared" si="0"/>
        <v>6.2388759201123363E-2</v>
      </c>
      <c r="G16" s="263">
        <f>G6-SUM(G7:G15)</f>
        <v>29120</v>
      </c>
      <c r="H16" s="271">
        <f t="shared" si="3"/>
        <v>4.3652784746613049E-2</v>
      </c>
      <c r="I16" s="270">
        <f t="shared" si="4"/>
        <v>1218</v>
      </c>
      <c r="J16" s="269">
        <f t="shared" si="5"/>
        <v>5.9732843217696674E-2</v>
      </c>
      <c r="K16" s="263">
        <f>K6-SUM(K7:K15)</f>
        <v>26478</v>
      </c>
      <c r="L16" s="271">
        <f t="shared" si="6"/>
        <v>-9.0728021978021989E-2</v>
      </c>
      <c r="M16" s="270">
        <f t="shared" si="7"/>
        <v>-2642</v>
      </c>
      <c r="N16" s="269">
        <f t="shared" si="8"/>
        <v>5.5025966819828298E-2</v>
      </c>
      <c r="O16" s="263">
        <f>O6-SUM(O7:O15)</f>
        <v>24222</v>
      </c>
      <c r="P16" s="271">
        <f t="shared" si="9"/>
        <v>-8.5202809879900254E-2</v>
      </c>
      <c r="Q16" s="270">
        <f t="shared" si="10"/>
        <v>-2256</v>
      </c>
      <c r="R16" s="271">
        <f t="shared" si="1"/>
        <v>0.95165578921924099</v>
      </c>
      <c r="S16" s="270">
        <f t="shared" si="2"/>
        <v>11811</v>
      </c>
      <c r="T16" s="269">
        <f t="shared" si="11"/>
        <v>5.0395620811548011E-2</v>
      </c>
      <c r="V16" s="29"/>
      <c r="W16" s="81"/>
      <c r="AE16" s="1"/>
    </row>
    <row r="17" spans="2:31" s="4" customFormat="1" ht="7.5" customHeight="1" x14ac:dyDescent="0.25">
      <c r="B17" s="247"/>
      <c r="C17" s="247"/>
      <c r="D17" s="247"/>
      <c r="E17" s="247"/>
      <c r="F17" s="247"/>
      <c r="G17" s="247"/>
      <c r="H17" s="247"/>
      <c r="I17" s="247"/>
      <c r="J17" s="247"/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AE17" s="1" t="s">
        <v>182</v>
      </c>
    </row>
    <row r="18" spans="2:31" s="4" customFormat="1" x14ac:dyDescent="0.25">
      <c r="B18" s="172" t="s">
        <v>183</v>
      </c>
      <c r="C18" s="172"/>
      <c r="D18" s="172"/>
      <c r="E18" s="172"/>
      <c r="F18" s="172"/>
      <c r="G18" s="172"/>
      <c r="H18" s="172"/>
      <c r="I18" s="172"/>
      <c r="J18" s="172"/>
      <c r="K18" s="172"/>
      <c r="L18" s="172"/>
      <c r="M18" s="172"/>
      <c r="N18" s="172"/>
      <c r="O18" s="172"/>
      <c r="P18" s="172"/>
      <c r="Q18" s="172"/>
      <c r="R18" s="172"/>
      <c r="S18" s="172"/>
      <c r="T18" s="172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8" t="s">
        <v>185</v>
      </c>
      <c r="C42" s="278"/>
      <c r="D42" s="278"/>
      <c r="E42" s="278"/>
      <c r="F42" s="278"/>
      <c r="G42" s="278"/>
      <c r="H42" s="278"/>
      <c r="I42" s="278"/>
      <c r="J42" s="278"/>
      <c r="K42" s="278"/>
      <c r="L42" s="278"/>
      <c r="M42" s="278"/>
      <c r="N42" s="278"/>
      <c r="O42" s="278"/>
      <c r="P42" s="278"/>
      <c r="Q42" s="278"/>
      <c r="R42" s="278"/>
      <c r="S42" s="278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9"/>
      <c r="AE44" s="1"/>
    </row>
    <row r="45" spans="2:31" s="4" customFormat="1" ht="18.75" hidden="1" x14ac:dyDescent="0.3">
      <c r="B45" s="235" t="s">
        <v>173</v>
      </c>
      <c r="C45" s="236"/>
      <c r="D45" s="236"/>
      <c r="E45" s="236"/>
      <c r="F45" s="236"/>
      <c r="G45" s="236"/>
      <c r="H45" s="236"/>
      <c r="I45" s="236"/>
      <c r="J45" s="236"/>
      <c r="K45" s="236">
        <v>1824653</v>
      </c>
      <c r="L45" s="236"/>
      <c r="M45" s="236"/>
      <c r="N45" s="237"/>
      <c r="O45" s="236">
        <v>2354005</v>
      </c>
      <c r="P45" s="237"/>
      <c r="Q45" s="237">
        <v>1</v>
      </c>
      <c r="R45" s="237">
        <v>0.2901110512519367</v>
      </c>
      <c r="S45" s="236">
        <v>529352</v>
      </c>
      <c r="T45" s="248"/>
      <c r="AE45" s="1"/>
    </row>
    <row r="46" spans="2:31" ht="18.75" hidden="1" x14ac:dyDescent="0.3">
      <c r="B46" s="235" t="s">
        <v>174</v>
      </c>
      <c r="C46" s="236"/>
      <c r="D46" s="236"/>
      <c r="E46" s="236"/>
      <c r="F46" s="236"/>
      <c r="G46" s="236"/>
      <c r="H46" s="236"/>
      <c r="I46" s="236"/>
      <c r="J46" s="236"/>
      <c r="K46" s="236">
        <v>603938</v>
      </c>
      <c r="L46" s="236"/>
      <c r="M46" s="236"/>
      <c r="N46" s="237">
        <v>1</v>
      </c>
      <c r="O46" s="236">
        <v>936181</v>
      </c>
      <c r="P46" s="237">
        <v>1</v>
      </c>
      <c r="Q46" s="237">
        <v>0.39769711619134201</v>
      </c>
      <c r="R46" s="237">
        <v>0.55012766211101138</v>
      </c>
      <c r="S46" s="236">
        <v>332243</v>
      </c>
      <c r="T46" s="248"/>
      <c r="AE46" s="1" t="s">
        <v>175</v>
      </c>
    </row>
    <row r="47" spans="2:31" ht="15.75" hidden="1" x14ac:dyDescent="0.25">
      <c r="B47" s="238" t="s">
        <v>102</v>
      </c>
      <c r="C47" s="239"/>
      <c r="D47" s="239"/>
      <c r="E47" s="239"/>
      <c r="F47" s="239"/>
      <c r="G47" s="239"/>
      <c r="H47" s="239"/>
      <c r="I47" s="239"/>
      <c r="J47" s="239"/>
      <c r="K47" s="239">
        <v>276550.36166633503</v>
      </c>
      <c r="L47" s="239"/>
      <c r="M47" s="239"/>
      <c r="N47" s="240">
        <v>0.45791184139155844</v>
      </c>
      <c r="O47" s="239">
        <v>430252.45635520399</v>
      </c>
      <c r="P47" s="240">
        <v>0.4595825554622493</v>
      </c>
      <c r="Q47" s="240">
        <v>0.18277465695918402</v>
      </c>
      <c r="R47" s="240">
        <v>0.55578337978930015</v>
      </c>
      <c r="S47" s="239">
        <v>153702.09468886897</v>
      </c>
      <c r="T47" s="249"/>
      <c r="AE47" s="1" t="s">
        <v>176</v>
      </c>
    </row>
    <row r="48" spans="2:31" s="4" customFormat="1" hidden="1" x14ac:dyDescent="0.25">
      <c r="B48" s="241" t="s">
        <v>105</v>
      </c>
      <c r="C48" s="242"/>
      <c r="D48" s="242"/>
      <c r="E48" s="242"/>
      <c r="F48" s="242"/>
      <c r="G48" s="242"/>
      <c r="H48" s="242"/>
      <c r="I48" s="242"/>
      <c r="J48" s="242"/>
      <c r="K48" s="242">
        <v>327387.63833385095</v>
      </c>
      <c r="L48" s="242"/>
      <c r="M48" s="242"/>
      <c r="N48" s="245">
        <v>0.54208815860874948</v>
      </c>
      <c r="O48" s="242">
        <v>505927.5436448183</v>
      </c>
      <c r="P48" s="245">
        <v>0.54041637636826456</v>
      </c>
      <c r="Q48" s="245">
        <v>0.21492203442423372</v>
      </c>
      <c r="R48" s="243">
        <v>0.54534711884540576</v>
      </c>
      <c r="S48" s="244">
        <v>178539.90531096736</v>
      </c>
      <c r="T48" s="251"/>
      <c r="AE48" s="1" t="s">
        <v>177</v>
      </c>
    </row>
    <row r="49" spans="2:31" s="4" customFormat="1" hidden="1" x14ac:dyDescent="0.25">
      <c r="B49" s="246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46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47"/>
      <c r="C51" s="247"/>
      <c r="D51" s="247"/>
      <c r="E51" s="247"/>
      <c r="F51" s="247"/>
      <c r="G51" s="247"/>
      <c r="H51" s="247"/>
      <c r="I51" s="247"/>
      <c r="J51" s="247"/>
      <c r="K51" s="247"/>
      <c r="L51" s="247"/>
      <c r="M51" s="247"/>
      <c r="N51" s="247"/>
      <c r="O51" s="247"/>
      <c r="P51" s="247"/>
      <c r="Q51" s="247"/>
      <c r="R51" s="247"/>
      <c r="S51" s="247"/>
      <c r="AE51" s="1" t="s">
        <v>182</v>
      </c>
    </row>
    <row r="52" spans="2:31" s="4" customFormat="1" hidden="1" x14ac:dyDescent="0.25">
      <c r="B52" s="296" t="s">
        <v>183</v>
      </c>
      <c r="C52" s="296"/>
      <c r="D52" s="296"/>
      <c r="E52" s="296"/>
      <c r="F52" s="296"/>
      <c r="G52" s="296"/>
      <c r="H52" s="296"/>
      <c r="I52" s="296"/>
      <c r="J52" s="296"/>
      <c r="K52" s="296"/>
      <c r="L52" s="296"/>
      <c r="M52" s="296"/>
      <c r="N52" s="296"/>
      <c r="O52" s="296"/>
      <c r="P52" s="296"/>
      <c r="Q52" s="296"/>
      <c r="R52" s="296"/>
      <c r="S52" s="296"/>
      <c r="T52" s="49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6"/>
      <c r="D54" s="126"/>
      <c r="E54" s="126"/>
      <c r="F54" s="126"/>
      <c r="G54" s="126"/>
      <c r="H54" s="126"/>
      <c r="I54" s="126"/>
      <c r="J54" s="126"/>
      <c r="K54" s="126">
        <v>0.54208815860874948</v>
      </c>
      <c r="L54" s="126"/>
      <c r="M54" s="126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29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6">
        <v>2020</v>
      </c>
      <c r="D135" s="186">
        <v>2021</v>
      </c>
      <c r="E135" s="186">
        <v>2022</v>
      </c>
      <c r="F135" s="186">
        <v>2023</v>
      </c>
      <c r="G135" s="174" t="str">
        <f>CONCATENATE("var. ",RIGHT(F135,2),"/",RIGHT(E135,2))</f>
        <v>var. 23/22</v>
      </c>
      <c r="H135" s="174" t="str">
        <f>CONCATENATE("dif. ",RIGHT(F135,2),"/",RIGHT(E135,2))</f>
        <v>dif. 23/22</v>
      </c>
      <c r="I135" s="174" t="str">
        <f>CONCATENATE("%/s total Península ",RIGHT(F135,4))</f>
        <v>%/s total Península 2023</v>
      </c>
      <c r="J135" s="186">
        <v>2024</v>
      </c>
      <c r="K135" s="174" t="str">
        <f>CONCATENATE("%/s total España ",RIGHT(J135,4))</f>
        <v>%/s total España 2024</v>
      </c>
      <c r="L135" s="174" t="str">
        <f>CONCATENATE("var. ",RIGHT(J135,2),"/",RIGHT(F135,2))</f>
        <v>var. 24/23</v>
      </c>
      <c r="M135" s="174" t="str">
        <f>CONCATENATE("dif. ",RIGHT(J135,2),"/",RIGHT(F135,2))</f>
        <v>dif. 24/23</v>
      </c>
      <c r="N135" s="174" t="str">
        <f>CONCATENATE("var. ",RIGHT(J135,2),"/",RIGHT(C135,2))</f>
        <v>var. 24/20</v>
      </c>
      <c r="O135" s="174" t="str">
        <f>CONCATENATE("dif. ",RIGHT(J135,2),"/",RIGHT(C135,2))</f>
        <v>dif. 24/20</v>
      </c>
      <c r="Z135" s="1"/>
    </row>
    <row r="136" spans="1:31" ht="18.75" x14ac:dyDescent="0.3">
      <c r="A136" s="4"/>
      <c r="B136" s="235" t="s">
        <v>202</v>
      </c>
      <c r="C136" s="239">
        <v>456683</v>
      </c>
      <c r="D136" s="239">
        <v>800301</v>
      </c>
      <c r="E136" s="239">
        <v>1016781</v>
      </c>
      <c r="F136" s="239">
        <v>1041269</v>
      </c>
      <c r="G136" s="240">
        <f>F136/E136-1</f>
        <v>2.4083848931087504E-2</v>
      </c>
      <c r="H136" s="239">
        <f>F136-E136</f>
        <v>24488</v>
      </c>
      <c r="I136" s="240">
        <f>F136/F$136</f>
        <v>1</v>
      </c>
      <c r="J136" s="239">
        <v>1058434</v>
      </c>
      <c r="K136" s="240">
        <f>H136/H$136</f>
        <v>1</v>
      </c>
      <c r="L136" s="240">
        <f>J136/F136-1</f>
        <v>1.6484693196474609E-2</v>
      </c>
      <c r="M136" s="239">
        <f>J136-F136</f>
        <v>17165</v>
      </c>
      <c r="N136" s="240">
        <f>J136/C136-1</f>
        <v>1.3176557918731375</v>
      </c>
      <c r="O136" s="239">
        <f>J136-C136</f>
        <v>601751</v>
      </c>
      <c r="Q136" s="29"/>
      <c r="R136" s="81"/>
      <c r="Z136" s="1" t="s">
        <v>175</v>
      </c>
      <c r="AE136"/>
    </row>
    <row r="137" spans="1:31" s="4" customFormat="1" x14ac:dyDescent="0.25">
      <c r="B137" s="246" t="s">
        <v>46</v>
      </c>
      <c r="C137" s="263">
        <v>117997</v>
      </c>
      <c r="D137" s="263">
        <v>247584</v>
      </c>
      <c r="E137" s="263">
        <v>207208</v>
      </c>
      <c r="F137" s="263">
        <v>181512</v>
      </c>
      <c r="G137" s="269">
        <f t="shared" ref="G137:G146" si="12">F137/E137-1</f>
        <v>-0.12401065595922933</v>
      </c>
      <c r="H137" s="276">
        <f t="shared" ref="H137:H146" si="13">F137-E137</f>
        <v>-25696</v>
      </c>
      <c r="I137" s="271">
        <f t="shared" ref="I137:K146" si="14">F137/F$136</f>
        <v>0.17431806766551197</v>
      </c>
      <c r="J137" s="263">
        <v>161819</v>
      </c>
      <c r="K137" s="271">
        <f t="shared" si="14"/>
        <v>-1.049330284220843</v>
      </c>
      <c r="L137" s="271">
        <f t="shared" ref="L137:L146" si="15">J137/F137-1</f>
        <v>-0.10849420423994005</v>
      </c>
      <c r="M137" s="270">
        <f t="shared" ref="M137:M146" si="16">J137-F137</f>
        <v>-19693</v>
      </c>
      <c r="N137" s="269">
        <f t="shared" ref="N137:N146" si="17">J137/C137-1</f>
        <v>0.37138232327940535</v>
      </c>
      <c r="O137" s="263">
        <f t="shared" ref="O137:O146" si="18">J137-C137</f>
        <v>43822</v>
      </c>
      <c r="Q137" s="29"/>
      <c r="R137" s="81"/>
      <c r="Z137" s="1" t="s">
        <v>177</v>
      </c>
    </row>
    <row r="138" spans="1:31" s="4" customFormat="1" x14ac:dyDescent="0.25">
      <c r="B138" s="246" t="s">
        <v>47</v>
      </c>
      <c r="C138" s="263">
        <v>51760</v>
      </c>
      <c r="D138" s="263">
        <v>83468</v>
      </c>
      <c r="E138" s="263">
        <v>123951</v>
      </c>
      <c r="F138" s="263">
        <v>118966</v>
      </c>
      <c r="G138" s="269">
        <f t="shared" si="12"/>
        <v>-4.0217505304515511E-2</v>
      </c>
      <c r="H138" s="276">
        <f t="shared" si="13"/>
        <v>-4985</v>
      </c>
      <c r="I138" s="271">
        <f t="shared" si="14"/>
        <v>0.1142509764527706</v>
      </c>
      <c r="J138" s="263">
        <v>114660</v>
      </c>
      <c r="K138" s="271">
        <f t="shared" si="14"/>
        <v>-0.20356909506697157</v>
      </c>
      <c r="L138" s="271">
        <f t="shared" si="15"/>
        <v>-3.6195215439705497E-2</v>
      </c>
      <c r="M138" s="270">
        <f t="shared" si="16"/>
        <v>-4306</v>
      </c>
      <c r="N138" s="269">
        <f t="shared" si="17"/>
        <v>1.2152241112828439</v>
      </c>
      <c r="O138" s="263">
        <f t="shared" si="18"/>
        <v>62900</v>
      </c>
      <c r="Q138" s="29"/>
      <c r="R138" s="81"/>
      <c r="Z138" s="1"/>
    </row>
    <row r="139" spans="1:31" s="4" customFormat="1" x14ac:dyDescent="0.25">
      <c r="B139" s="246" t="s">
        <v>48</v>
      </c>
      <c r="C139" s="263">
        <v>2339</v>
      </c>
      <c r="D139" s="263">
        <v>4950</v>
      </c>
      <c r="E139" s="263">
        <v>6762</v>
      </c>
      <c r="F139" s="263">
        <v>20250</v>
      </c>
      <c r="G139" s="269">
        <f t="shared" si="12"/>
        <v>1.9946761313220942</v>
      </c>
      <c r="H139" s="276">
        <f t="shared" si="13"/>
        <v>13488</v>
      </c>
      <c r="I139" s="271">
        <f t="shared" si="14"/>
        <v>1.9447424248681178E-2</v>
      </c>
      <c r="J139" s="263">
        <v>11054</v>
      </c>
      <c r="K139" s="275">
        <f t="shared" si="14"/>
        <v>0.55080039202874875</v>
      </c>
      <c r="L139" s="271">
        <f t="shared" si="15"/>
        <v>-0.45412345679012345</v>
      </c>
      <c r="M139" s="270">
        <f t="shared" si="16"/>
        <v>-9196</v>
      </c>
      <c r="N139" s="269">
        <f t="shared" si="17"/>
        <v>3.725951261222745</v>
      </c>
      <c r="O139" s="263">
        <f t="shared" si="18"/>
        <v>8715</v>
      </c>
      <c r="Q139" s="29"/>
      <c r="R139" s="81"/>
      <c r="Z139" s="1"/>
    </row>
    <row r="140" spans="1:31" s="4" customFormat="1" x14ac:dyDescent="0.25">
      <c r="B140" s="246" t="s">
        <v>50</v>
      </c>
      <c r="C140" s="263">
        <v>103133</v>
      </c>
      <c r="D140" s="263">
        <v>181693</v>
      </c>
      <c r="E140" s="263">
        <v>342343</v>
      </c>
      <c r="F140" s="263">
        <v>341923</v>
      </c>
      <c r="G140" s="269">
        <f t="shared" si="12"/>
        <v>-1.2268397484394011E-3</v>
      </c>
      <c r="H140" s="276">
        <f t="shared" si="13"/>
        <v>-420</v>
      </c>
      <c r="I140" s="271">
        <f t="shared" si="14"/>
        <v>0.32837143908058342</v>
      </c>
      <c r="J140" s="263">
        <v>382237</v>
      </c>
      <c r="K140" s="271">
        <f t="shared" si="14"/>
        <v>-1.7151257758902319E-2</v>
      </c>
      <c r="L140" s="271">
        <f t="shared" si="15"/>
        <v>0.1179037385610211</v>
      </c>
      <c r="M140" s="270">
        <f t="shared" si="16"/>
        <v>40314</v>
      </c>
      <c r="N140" s="269">
        <f t="shared" si="17"/>
        <v>2.7062530906693301</v>
      </c>
      <c r="O140" s="263">
        <f t="shared" si="18"/>
        <v>279104</v>
      </c>
      <c r="Q140" s="29"/>
      <c r="R140" s="81"/>
      <c r="Z140" s="1"/>
    </row>
    <row r="141" spans="1:31" s="4" customFormat="1" x14ac:dyDescent="0.25">
      <c r="B141" s="246" t="s">
        <v>52</v>
      </c>
      <c r="C141" s="263">
        <v>30584</v>
      </c>
      <c r="D141" s="263">
        <v>44398</v>
      </c>
      <c r="E141" s="263">
        <v>48630</v>
      </c>
      <c r="F141" s="263">
        <v>55684</v>
      </c>
      <c r="G141" s="269">
        <f t="shared" si="12"/>
        <v>0.14505449311124829</v>
      </c>
      <c r="H141" s="276">
        <f t="shared" si="13"/>
        <v>7054</v>
      </c>
      <c r="I141" s="271">
        <f t="shared" si="14"/>
        <v>5.3477055400669757E-2</v>
      </c>
      <c r="J141" s="263">
        <v>49807</v>
      </c>
      <c r="K141" s="275">
        <f t="shared" si="14"/>
        <v>0.28805945769356417</v>
      </c>
      <c r="L141" s="271">
        <f t="shared" si="15"/>
        <v>-0.10554198692622652</v>
      </c>
      <c r="M141" s="270">
        <f t="shared" si="16"/>
        <v>-5877</v>
      </c>
      <c r="N141" s="269">
        <f t="shared" si="17"/>
        <v>0.62853125817420863</v>
      </c>
      <c r="O141" s="263">
        <f t="shared" si="18"/>
        <v>19223</v>
      </c>
      <c r="Q141" s="29"/>
      <c r="R141" s="81"/>
      <c r="Z141" s="1"/>
    </row>
    <row r="142" spans="1:31" s="4" customFormat="1" x14ac:dyDescent="0.25">
      <c r="B142" s="246" t="s">
        <v>53</v>
      </c>
      <c r="C142" s="263">
        <v>61571</v>
      </c>
      <c r="D142" s="263">
        <v>104557</v>
      </c>
      <c r="E142" s="263">
        <v>134886</v>
      </c>
      <c r="F142" s="263">
        <v>146430</v>
      </c>
      <c r="G142" s="269">
        <f t="shared" si="12"/>
        <v>8.5583381522174262E-2</v>
      </c>
      <c r="H142" s="276">
        <f t="shared" si="13"/>
        <v>11544</v>
      </c>
      <c r="I142" s="271">
        <f t="shared" si="14"/>
        <v>0.14062648556713012</v>
      </c>
      <c r="J142" s="263">
        <v>156566</v>
      </c>
      <c r="K142" s="271">
        <f t="shared" si="14"/>
        <v>0.47141457040182949</v>
      </c>
      <c r="L142" s="271">
        <f t="shared" si="15"/>
        <v>6.9220788089872309E-2</v>
      </c>
      <c r="M142" s="270">
        <f t="shared" si="16"/>
        <v>10136</v>
      </c>
      <c r="N142" s="269">
        <f t="shared" si="17"/>
        <v>1.5428529664939665</v>
      </c>
      <c r="O142" s="263">
        <f t="shared" si="18"/>
        <v>94995</v>
      </c>
      <c r="Q142" s="29"/>
      <c r="R142" s="81"/>
      <c r="Z142" s="1"/>
    </row>
    <row r="143" spans="1:31" s="4" customFormat="1" x14ac:dyDescent="0.25">
      <c r="B143" s="246" t="s">
        <v>51</v>
      </c>
      <c r="C143" s="263">
        <v>16023</v>
      </c>
      <c r="D143" s="263">
        <v>21732</v>
      </c>
      <c r="E143" s="263">
        <v>33809</v>
      </c>
      <c r="F143" s="263">
        <v>37722</v>
      </c>
      <c r="G143" s="269">
        <f t="shared" si="12"/>
        <v>0.11573841284864983</v>
      </c>
      <c r="H143" s="276">
        <f t="shared" si="13"/>
        <v>3913</v>
      </c>
      <c r="I143" s="271">
        <f t="shared" si="14"/>
        <v>3.6226950000432162E-2</v>
      </c>
      <c r="J143" s="263">
        <v>35821</v>
      </c>
      <c r="K143" s="275">
        <f t="shared" si="14"/>
        <v>0.15979255145377327</v>
      </c>
      <c r="L143" s="271">
        <f t="shared" si="15"/>
        <v>-5.0394994963151474E-2</v>
      </c>
      <c r="M143" s="270">
        <f t="shared" si="16"/>
        <v>-1901</v>
      </c>
      <c r="N143" s="269">
        <f t="shared" si="17"/>
        <v>1.2355988266866378</v>
      </c>
      <c r="O143" s="263">
        <f t="shared" si="18"/>
        <v>19798</v>
      </c>
      <c r="Q143" s="29"/>
      <c r="R143" s="81"/>
      <c r="Z143" s="1"/>
    </row>
    <row r="144" spans="1:31" s="4" customFormat="1" x14ac:dyDescent="0.25">
      <c r="B144" s="246" t="s">
        <v>54</v>
      </c>
      <c r="C144" s="263">
        <v>26839</v>
      </c>
      <c r="D144" s="263">
        <v>45216</v>
      </c>
      <c r="E144" s="263">
        <v>29061</v>
      </c>
      <c r="F144" s="263">
        <v>32018</v>
      </c>
      <c r="G144" s="269">
        <f t="shared" si="12"/>
        <v>0.10175148824885594</v>
      </c>
      <c r="H144" s="276">
        <f t="shared" si="13"/>
        <v>2957</v>
      </c>
      <c r="I144" s="271">
        <f t="shared" si="14"/>
        <v>3.0749018745396241E-2</v>
      </c>
      <c r="J144" s="263">
        <v>29188</v>
      </c>
      <c r="K144" s="271">
        <f t="shared" si="14"/>
        <v>0.12075302188827181</v>
      </c>
      <c r="L144" s="271">
        <f t="shared" si="15"/>
        <v>-8.838778187269658E-2</v>
      </c>
      <c r="M144" s="270">
        <f t="shared" si="16"/>
        <v>-2830</v>
      </c>
      <c r="N144" s="269">
        <f t="shared" si="17"/>
        <v>8.752188978724984E-2</v>
      </c>
      <c r="O144" s="263">
        <f t="shared" si="18"/>
        <v>2349</v>
      </c>
      <c r="Q144" s="29"/>
      <c r="R144" s="81"/>
      <c r="Z144" s="1"/>
    </row>
    <row r="145" spans="2:31" s="4" customFormat="1" x14ac:dyDescent="0.25">
      <c r="B145" s="246" t="s">
        <v>49</v>
      </c>
      <c r="C145" s="263">
        <v>24273</v>
      </c>
      <c r="D145" s="263">
        <v>26311</v>
      </c>
      <c r="E145" s="263">
        <v>32375</v>
      </c>
      <c r="F145" s="263">
        <v>47068</v>
      </c>
      <c r="G145" s="269">
        <f t="shared" si="12"/>
        <v>0.45383783783783782</v>
      </c>
      <c r="H145" s="276">
        <f t="shared" si="13"/>
        <v>14693</v>
      </c>
      <c r="I145" s="271">
        <f t="shared" si="14"/>
        <v>4.5202536520342007E-2</v>
      </c>
      <c r="J145" s="263">
        <v>61312</v>
      </c>
      <c r="K145" s="275">
        <f t="shared" si="14"/>
        <v>0.60000816726559947</v>
      </c>
      <c r="L145" s="271">
        <f t="shared" si="15"/>
        <v>0.30262598793235318</v>
      </c>
      <c r="M145" s="270">
        <f t="shared" si="16"/>
        <v>14244</v>
      </c>
      <c r="N145" s="269">
        <f t="shared" si="17"/>
        <v>1.5259341655337204</v>
      </c>
      <c r="O145" s="263">
        <f t="shared" si="18"/>
        <v>37039</v>
      </c>
      <c r="Q145" s="29"/>
      <c r="R145" s="81"/>
      <c r="Z145" s="1"/>
    </row>
    <row r="146" spans="2:31" s="4" customFormat="1" x14ac:dyDescent="0.25">
      <c r="B146" s="246" t="s">
        <v>203</v>
      </c>
      <c r="C146" s="263">
        <f>C136-SUM(C137:C145)</f>
        <v>22164</v>
      </c>
      <c r="D146" s="263">
        <f>D136-SUM(D137:D145)</f>
        <v>40392</v>
      </c>
      <c r="E146" s="263">
        <f>E136-SUM(E137:E145)</f>
        <v>57756</v>
      </c>
      <c r="F146" s="263">
        <f>F136-SUM(F137:F145)</f>
        <v>59696</v>
      </c>
      <c r="G146" s="269">
        <f t="shared" si="12"/>
        <v>3.3589583766188813E-2</v>
      </c>
      <c r="H146" s="276">
        <f t="shared" si="13"/>
        <v>1940</v>
      </c>
      <c r="I146" s="271">
        <f t="shared" si="14"/>
        <v>5.7330046318482542E-2</v>
      </c>
      <c r="J146" s="263">
        <f>J136-SUM(J137:J145)</f>
        <v>55970</v>
      </c>
      <c r="K146" s="271">
        <f t="shared" si="14"/>
        <v>7.9222476314929763E-2</v>
      </c>
      <c r="L146" s="271">
        <f t="shared" si="15"/>
        <v>-6.2416242294291102E-2</v>
      </c>
      <c r="M146" s="270">
        <f t="shared" si="16"/>
        <v>-3726</v>
      </c>
      <c r="N146" s="269">
        <f t="shared" si="17"/>
        <v>1.5252661974372859</v>
      </c>
      <c r="O146" s="263">
        <f t="shared" si="18"/>
        <v>33806</v>
      </c>
      <c r="Q146" s="29"/>
      <c r="R146" s="81"/>
      <c r="Z146" s="1"/>
    </row>
    <row r="147" spans="2:31" s="4" customFormat="1" ht="7.5" customHeight="1" x14ac:dyDescent="0.25">
      <c r="B147" s="247"/>
      <c r="C147" s="247"/>
      <c r="D147" s="247"/>
      <c r="E147" s="247"/>
      <c r="F147" s="247"/>
      <c r="G147" s="247"/>
      <c r="H147" s="247"/>
      <c r="I147" s="247"/>
      <c r="J147" s="247"/>
      <c r="K147" s="247"/>
      <c r="L147" s="247"/>
      <c r="M147" s="247"/>
      <c r="N147" s="247"/>
      <c r="O147" s="247"/>
      <c r="Z147" s="1" t="s">
        <v>182</v>
      </c>
    </row>
    <row r="148" spans="2:31" s="4" customFormat="1" x14ac:dyDescent="0.25">
      <c r="B148" s="172" t="s">
        <v>183</v>
      </c>
      <c r="C148" s="172"/>
      <c r="D148" s="172"/>
      <c r="E148" s="172"/>
      <c r="F148" s="172"/>
      <c r="G148" s="172"/>
      <c r="H148" s="172"/>
      <c r="I148" s="172"/>
      <c r="J148" s="172"/>
      <c r="K148" s="172"/>
      <c r="L148" s="172"/>
      <c r="M148" s="172"/>
      <c r="N148" s="172"/>
      <c r="O148" s="172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942C9-98ED-4EB8-A431-1DE267418F8C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204</v>
      </c>
      <c r="G1" s="234"/>
      <c r="H1" s="234"/>
      <c r="I1" s="234"/>
      <c r="K1" s="234"/>
    </row>
    <row r="3" spans="1:31" s="4" customFormat="1" ht="25.5" customHeight="1" thickBot="1" x14ac:dyDescent="0.3">
      <c r="B3" s="66" t="s">
        <v>30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2" t="s">
        <v>259</v>
      </c>
      <c r="D5" s="252" t="s">
        <v>260</v>
      </c>
      <c r="E5" s="252" t="s">
        <v>261</v>
      </c>
      <c r="F5" s="253" t="str">
        <f>CONCATENATE("%/s total Tenerife ",RIGHT(E5,4))</f>
        <v>%/s total Tenerife 2022</v>
      </c>
      <c r="G5" s="252" t="s">
        <v>262</v>
      </c>
      <c r="H5" s="253" t="str">
        <f>CONCATENATE("var. ",RIGHT(G5,2),"/",RIGHT(E5,2))</f>
        <v>var. 23/22</v>
      </c>
      <c r="I5" s="253" t="str">
        <f>CONCATENATE("dif. ",RIGHT(G5,2),"/",RIGHT(E5,2))</f>
        <v>dif. 23/22</v>
      </c>
      <c r="J5" s="253" t="str">
        <f>CONCATENATE("%/s total Tenerife ",RIGHT(G5,4))</f>
        <v>%/s total Tenerife 2023</v>
      </c>
      <c r="K5" s="252" t="s">
        <v>263</v>
      </c>
      <c r="L5" s="253" t="str">
        <f>CONCATENATE("var. ",RIGHT(K5,2),"/",RIGHT(G5,2))</f>
        <v>var. 24/23</v>
      </c>
      <c r="M5" s="253" t="str">
        <f>CONCATENATE("dif. ",RIGHT(K5,2),"/",RIGHT(G5,2))</f>
        <v>dif. 24/23</v>
      </c>
      <c r="N5" s="253" t="str">
        <f>CONCATENATE("%/s total Tenerife ",RIGHT(K5,4))</f>
        <v>%/s total Tenerife 2024</v>
      </c>
      <c r="O5" s="252" t="s">
        <v>264</v>
      </c>
      <c r="P5" s="253" t="str">
        <f>CONCATENATE("var. ",RIGHT(O5,2),"/",RIGHT(K5,2))</f>
        <v>var. 25/24</v>
      </c>
      <c r="Q5" s="253" t="str">
        <f>CONCATENATE("dif. ",RIGHT(O5,2),"/",RIGHT(K5,2))</f>
        <v>dif. 25/24</v>
      </c>
      <c r="R5" s="253" t="str">
        <f>CONCATENATE("var. ",RIGHT(O5,2),"/",RIGHT(C5,2))</f>
        <v>var. 25/20</v>
      </c>
      <c r="S5" s="253" t="str">
        <f>CONCATENATE("dif. ",RIGHT(O5,2),"/",RIGHT(C5,2))</f>
        <v>dif. 25/20</v>
      </c>
      <c r="T5" s="253" t="str">
        <f>CONCATENATE("%/s total Tenerife ",RIGHT(O5,4))</f>
        <v>%/s total Tenerife 2025</v>
      </c>
      <c r="AE5" s="1"/>
    </row>
    <row r="6" spans="1:31" ht="18.75" x14ac:dyDescent="0.3">
      <c r="A6" s="4"/>
      <c r="B6" s="235" t="s">
        <v>202</v>
      </c>
      <c r="C6" s="254">
        <v>90853</v>
      </c>
      <c r="D6" s="254">
        <v>94831</v>
      </c>
      <c r="E6" s="254">
        <v>258592</v>
      </c>
      <c r="F6" s="255">
        <f>E6/$E$6</f>
        <v>1</v>
      </c>
      <c r="G6" s="254">
        <v>288981</v>
      </c>
      <c r="H6" s="255">
        <f>G6/E6-1</f>
        <v>0.11751716990471484</v>
      </c>
      <c r="I6" s="254">
        <f>G6-E6</f>
        <v>30389</v>
      </c>
      <c r="J6" s="255">
        <f>G6/$G$6</f>
        <v>1</v>
      </c>
      <c r="K6" s="254">
        <v>292403</v>
      </c>
      <c r="L6" s="255">
        <f>K6/G6-1</f>
        <v>1.1841608963911066E-2</v>
      </c>
      <c r="M6" s="254">
        <f>K6-G6</f>
        <v>3422</v>
      </c>
      <c r="N6" s="255">
        <f>K6/$K$6</f>
        <v>1</v>
      </c>
      <c r="O6" s="254">
        <v>303843</v>
      </c>
      <c r="P6" s="255">
        <f>O6/K6-1</f>
        <v>3.9124085594197E-2</v>
      </c>
      <c r="Q6" s="254">
        <f>O6-K6</f>
        <v>11440</v>
      </c>
      <c r="R6" s="255">
        <f>IFERROR(O6/C6-1,"-")</f>
        <v>2.3443364555931008</v>
      </c>
      <c r="S6" s="254">
        <f>O6-C6</f>
        <v>212990</v>
      </c>
      <c r="T6" s="255">
        <f>O6/$O$6</f>
        <v>1</v>
      </c>
      <c r="V6" s="29"/>
      <c r="W6" s="81"/>
      <c r="AE6" s="1" t="s">
        <v>175</v>
      </c>
    </row>
    <row r="7" spans="1:31" s="4" customFormat="1" x14ac:dyDescent="0.25">
      <c r="B7" s="246" t="s">
        <v>46</v>
      </c>
      <c r="C7" s="263">
        <v>10899</v>
      </c>
      <c r="D7" s="263">
        <v>35361</v>
      </c>
      <c r="E7" s="263">
        <v>48509</v>
      </c>
      <c r="F7" s="269">
        <f t="shared" ref="F7:F16" si="0">E7/$E$6</f>
        <v>0.187588943200099</v>
      </c>
      <c r="G7" s="263">
        <v>46203</v>
      </c>
      <c r="H7" s="271">
        <f>G7/E7-1</f>
        <v>-4.7537570347770508E-2</v>
      </c>
      <c r="I7" s="270">
        <f>G7-E7</f>
        <v>-2306</v>
      </c>
      <c r="J7" s="269">
        <f>G7/$G$6</f>
        <v>0.15988248362349081</v>
      </c>
      <c r="K7" s="263">
        <v>42959</v>
      </c>
      <c r="L7" s="271">
        <f>K7/G7-1</f>
        <v>-7.0211891002748716E-2</v>
      </c>
      <c r="M7" s="270">
        <f>K7-G7</f>
        <v>-3244</v>
      </c>
      <c r="N7" s="269">
        <f>K7/$K$6</f>
        <v>0.14691709729380342</v>
      </c>
      <c r="O7" s="263">
        <v>35884</v>
      </c>
      <c r="P7" s="271">
        <f>O7/K7-1</f>
        <v>-0.16469191554738238</v>
      </c>
      <c r="Q7" s="270">
        <f>O7-K7</f>
        <v>-7075</v>
      </c>
      <c r="R7" s="271">
        <f t="shared" ref="R7:R16" si="1">IFERROR(O7/C7-1,"-")</f>
        <v>2.2924121479034776</v>
      </c>
      <c r="S7" s="270">
        <f t="shared" ref="S7:S16" si="2">O7-C7</f>
        <v>24985</v>
      </c>
      <c r="T7" s="269">
        <f>O7/$O$6</f>
        <v>0.11810046635927107</v>
      </c>
      <c r="V7" s="29"/>
      <c r="W7" s="81"/>
      <c r="AE7" s="1" t="s">
        <v>177</v>
      </c>
    </row>
    <row r="8" spans="1:31" s="4" customFormat="1" x14ac:dyDescent="0.25">
      <c r="B8" s="246" t="s">
        <v>47</v>
      </c>
      <c r="C8" s="263">
        <v>8874</v>
      </c>
      <c r="D8" s="263">
        <v>5932</v>
      </c>
      <c r="E8" s="263">
        <v>30310</v>
      </c>
      <c r="F8" s="269">
        <f t="shared" si="0"/>
        <v>0.11721166934785299</v>
      </c>
      <c r="G8" s="263">
        <v>29159</v>
      </c>
      <c r="H8" s="271">
        <f t="shared" ref="H8:H16" si="3">G8/E8-1</f>
        <v>-3.7974265918838679E-2</v>
      </c>
      <c r="I8" s="270">
        <f t="shared" ref="I8:I16" si="4">G8-E8</f>
        <v>-1151</v>
      </c>
      <c r="J8" s="269">
        <f t="shared" ref="J8:J16" si="5">G8/$G$6</f>
        <v>0.10090282752153255</v>
      </c>
      <c r="K8" s="263">
        <v>26530</v>
      </c>
      <c r="L8" s="271">
        <f t="shared" ref="L8:L16" si="6">K8/G8-1</f>
        <v>-9.016084227854182E-2</v>
      </c>
      <c r="M8" s="270">
        <f t="shared" ref="M8:M16" si="7">K8-G8</f>
        <v>-2629</v>
      </c>
      <c r="N8" s="269">
        <f t="shared" ref="N8:N16" si="8">K8/$K$6</f>
        <v>9.0730943252976204E-2</v>
      </c>
      <c r="O8" s="263">
        <v>29316</v>
      </c>
      <c r="P8" s="271">
        <f t="shared" ref="P8:P16" si="9">O8/K8-1</f>
        <v>0.10501319261213715</v>
      </c>
      <c r="Q8" s="270">
        <f t="shared" ref="Q8:Q16" si="10">O8-K8</f>
        <v>2786</v>
      </c>
      <c r="R8" s="271">
        <f t="shared" si="1"/>
        <v>2.3035835023664637</v>
      </c>
      <c r="S8" s="270">
        <f t="shared" si="2"/>
        <v>20442</v>
      </c>
      <c r="T8" s="269">
        <f t="shared" ref="T8:T16" si="11">O8/$O$6</f>
        <v>9.6484039454586737E-2</v>
      </c>
      <c r="V8" s="29"/>
      <c r="W8" s="81"/>
      <c r="AE8" s="1"/>
    </row>
    <row r="9" spans="1:31" s="4" customFormat="1" x14ac:dyDescent="0.25">
      <c r="B9" s="246" t="s">
        <v>48</v>
      </c>
      <c r="C9" s="263">
        <v>585</v>
      </c>
      <c r="D9" s="263">
        <v>817</v>
      </c>
      <c r="E9" s="263">
        <v>1241</v>
      </c>
      <c r="F9" s="264">
        <f t="shared" si="0"/>
        <v>4.7990657096893949E-3</v>
      </c>
      <c r="G9" s="263">
        <v>3098</v>
      </c>
      <c r="H9" s="275">
        <f t="shared" si="3"/>
        <v>1.4963738920225627</v>
      </c>
      <c r="I9" s="266">
        <f t="shared" si="4"/>
        <v>1857</v>
      </c>
      <c r="J9" s="264">
        <f t="shared" si="5"/>
        <v>1.0720427986615037E-2</v>
      </c>
      <c r="K9" s="263">
        <v>2077</v>
      </c>
      <c r="L9" s="271">
        <f t="shared" si="6"/>
        <v>-0.32956746287927696</v>
      </c>
      <c r="M9" s="270">
        <f t="shared" si="7"/>
        <v>-1021</v>
      </c>
      <c r="N9" s="269">
        <f t="shared" si="8"/>
        <v>7.1032102953800065E-3</v>
      </c>
      <c r="O9" s="263">
        <v>1545</v>
      </c>
      <c r="P9" s="271">
        <f t="shared" si="9"/>
        <v>-0.25613866153105436</v>
      </c>
      <c r="Q9" s="270">
        <f t="shared" si="10"/>
        <v>-532</v>
      </c>
      <c r="R9" s="271">
        <f t="shared" si="1"/>
        <v>1.641025641025641</v>
      </c>
      <c r="S9" s="270">
        <f t="shared" si="2"/>
        <v>960</v>
      </c>
      <c r="T9" s="269">
        <f t="shared" si="11"/>
        <v>5.0848629061719377E-3</v>
      </c>
      <c r="V9" s="29"/>
      <c r="W9" s="81"/>
      <c r="AE9" s="1"/>
    </row>
    <row r="10" spans="1:31" s="4" customFormat="1" x14ac:dyDescent="0.25">
      <c r="B10" s="246" t="s">
        <v>50</v>
      </c>
      <c r="C10" s="263">
        <v>38308</v>
      </c>
      <c r="D10" s="263">
        <v>21291</v>
      </c>
      <c r="E10" s="263">
        <v>111300</v>
      </c>
      <c r="F10" s="269">
        <f t="shared" si="0"/>
        <v>0.43040774656601904</v>
      </c>
      <c r="G10" s="263">
        <v>122647</v>
      </c>
      <c r="H10" s="271">
        <f t="shared" si="3"/>
        <v>0.10194968553459116</v>
      </c>
      <c r="I10" s="270">
        <f t="shared" si="4"/>
        <v>11347</v>
      </c>
      <c r="J10" s="269">
        <f t="shared" si="5"/>
        <v>0.4244119855630647</v>
      </c>
      <c r="K10" s="263">
        <v>127002</v>
      </c>
      <c r="L10" s="271">
        <f t="shared" si="6"/>
        <v>3.5508410315784333E-2</v>
      </c>
      <c r="M10" s="270">
        <f t="shared" si="7"/>
        <v>4355</v>
      </c>
      <c r="N10" s="269">
        <f t="shared" si="8"/>
        <v>0.43433890897152216</v>
      </c>
      <c r="O10" s="263">
        <v>140084</v>
      </c>
      <c r="P10" s="271">
        <f t="shared" si="9"/>
        <v>0.10300625187004919</v>
      </c>
      <c r="Q10" s="270">
        <f t="shared" si="10"/>
        <v>13082</v>
      </c>
      <c r="R10" s="271">
        <f t="shared" si="1"/>
        <v>2.656781873237966</v>
      </c>
      <c r="S10" s="270">
        <f t="shared" si="2"/>
        <v>101776</v>
      </c>
      <c r="T10" s="269">
        <f>O10/$O$6</f>
        <v>0.46104073485319719</v>
      </c>
      <c r="V10" s="29"/>
      <c r="W10" s="81"/>
      <c r="AE10" s="1"/>
    </row>
    <row r="11" spans="1:31" s="4" customFormat="1" x14ac:dyDescent="0.25">
      <c r="B11" s="246" t="s">
        <v>52</v>
      </c>
      <c r="C11" s="263">
        <v>5757</v>
      </c>
      <c r="D11" s="263">
        <v>5105</v>
      </c>
      <c r="E11" s="263">
        <v>11645</v>
      </c>
      <c r="F11" s="264">
        <f t="shared" si="0"/>
        <v>4.5032328919688155E-2</v>
      </c>
      <c r="G11" s="263">
        <v>14610</v>
      </c>
      <c r="H11" s="275">
        <f t="shared" si="3"/>
        <v>0.2546157148990984</v>
      </c>
      <c r="I11" s="266">
        <f t="shared" si="4"/>
        <v>2965</v>
      </c>
      <c r="J11" s="264">
        <f t="shared" si="5"/>
        <v>5.0556957031777178E-2</v>
      </c>
      <c r="K11" s="263">
        <v>16063</v>
      </c>
      <c r="L11" s="271">
        <f t="shared" si="6"/>
        <v>9.9452429842573631E-2</v>
      </c>
      <c r="M11" s="270">
        <f t="shared" si="7"/>
        <v>1453</v>
      </c>
      <c r="N11" s="269">
        <f t="shared" si="8"/>
        <v>5.4934456896817065E-2</v>
      </c>
      <c r="O11" s="263">
        <v>16553</v>
      </c>
      <c r="P11" s="271">
        <f t="shared" si="9"/>
        <v>3.0504887007408277E-2</v>
      </c>
      <c r="Q11" s="270">
        <f t="shared" si="10"/>
        <v>490</v>
      </c>
      <c r="R11" s="271">
        <f t="shared" si="1"/>
        <v>1.8752822650686123</v>
      </c>
      <c r="S11" s="270">
        <f t="shared" si="2"/>
        <v>10796</v>
      </c>
      <c r="T11" s="269">
        <f t="shared" si="11"/>
        <v>5.4478793324183872E-2</v>
      </c>
      <c r="V11" s="29"/>
      <c r="W11" s="81"/>
      <c r="AE11" s="1"/>
    </row>
    <row r="12" spans="1:31" s="4" customFormat="1" x14ac:dyDescent="0.25">
      <c r="B12" s="246" t="s">
        <v>53</v>
      </c>
      <c r="C12" s="263">
        <v>13225</v>
      </c>
      <c r="D12" s="263">
        <v>17793</v>
      </c>
      <c r="E12" s="263">
        <v>31462</v>
      </c>
      <c r="F12" s="269">
        <f t="shared" si="0"/>
        <v>0.12166656354411583</v>
      </c>
      <c r="G12" s="263">
        <v>40904</v>
      </c>
      <c r="H12" s="271">
        <f t="shared" si="3"/>
        <v>0.30010806687432456</v>
      </c>
      <c r="I12" s="270">
        <f t="shared" si="4"/>
        <v>9442</v>
      </c>
      <c r="J12" s="269">
        <f t="shared" si="5"/>
        <v>0.14154563794851566</v>
      </c>
      <c r="K12" s="263">
        <v>41828</v>
      </c>
      <c r="L12" s="271">
        <f t="shared" si="6"/>
        <v>2.2589477801681968E-2</v>
      </c>
      <c r="M12" s="270">
        <f t="shared" si="7"/>
        <v>924</v>
      </c>
      <c r="N12" s="269">
        <f t="shared" si="8"/>
        <v>0.14304914792255893</v>
      </c>
      <c r="O12" s="263">
        <v>43681</v>
      </c>
      <c r="P12" s="271">
        <f t="shared" si="9"/>
        <v>4.4300468585636521E-2</v>
      </c>
      <c r="Q12" s="270">
        <f t="shared" si="10"/>
        <v>1853</v>
      </c>
      <c r="R12" s="271">
        <f t="shared" si="1"/>
        <v>2.3029111531190924</v>
      </c>
      <c r="S12" s="270">
        <f t="shared" si="2"/>
        <v>30456</v>
      </c>
      <c r="T12" s="269">
        <f t="shared" si="11"/>
        <v>0.14376174537507858</v>
      </c>
      <c r="V12" s="29"/>
      <c r="W12" s="81"/>
      <c r="AE12" s="1"/>
    </row>
    <row r="13" spans="1:31" s="4" customFormat="1" x14ac:dyDescent="0.25">
      <c r="B13" s="246" t="s">
        <v>51</v>
      </c>
      <c r="C13" s="263">
        <v>3215</v>
      </c>
      <c r="D13" s="263">
        <v>3165</v>
      </c>
      <c r="E13" s="263">
        <v>7883</v>
      </c>
      <c r="F13" s="264">
        <f t="shared" si="0"/>
        <v>3.0484315060017326E-2</v>
      </c>
      <c r="G13" s="263">
        <v>13965</v>
      </c>
      <c r="H13" s="275">
        <f t="shared" si="3"/>
        <v>0.77153368007103884</v>
      </c>
      <c r="I13" s="266">
        <f t="shared" si="4"/>
        <v>6082</v>
      </c>
      <c r="J13" s="264">
        <f t="shared" si="5"/>
        <v>4.8324976382530339E-2</v>
      </c>
      <c r="K13" s="263">
        <v>12232</v>
      </c>
      <c r="L13" s="271">
        <f t="shared" si="6"/>
        <v>-0.12409595417114216</v>
      </c>
      <c r="M13" s="270">
        <f t="shared" si="7"/>
        <v>-1733</v>
      </c>
      <c r="N13" s="269">
        <f t="shared" si="8"/>
        <v>4.1832676135333771E-2</v>
      </c>
      <c r="O13" s="263">
        <v>11250</v>
      </c>
      <c r="P13" s="271">
        <f t="shared" si="9"/>
        <v>-8.0281229561805056E-2</v>
      </c>
      <c r="Q13" s="270">
        <f t="shared" si="10"/>
        <v>-982</v>
      </c>
      <c r="R13" s="271">
        <f t="shared" si="1"/>
        <v>2.4992223950233283</v>
      </c>
      <c r="S13" s="270">
        <f t="shared" si="2"/>
        <v>8035</v>
      </c>
      <c r="T13" s="269">
        <f t="shared" si="11"/>
        <v>3.702570077309663E-2</v>
      </c>
      <c r="V13" s="29"/>
      <c r="W13" s="81"/>
      <c r="AE13" s="1"/>
    </row>
    <row r="14" spans="1:31" s="4" customFormat="1" x14ac:dyDescent="0.25">
      <c r="B14" s="246" t="s">
        <v>54</v>
      </c>
      <c r="C14" s="263">
        <v>866</v>
      </c>
      <c r="D14" s="263">
        <v>3058</v>
      </c>
      <c r="E14" s="263">
        <v>3624</v>
      </c>
      <c r="F14" s="269">
        <f t="shared" si="0"/>
        <v>1.4014354659076847E-2</v>
      </c>
      <c r="G14" s="263">
        <v>4946</v>
      </c>
      <c r="H14" s="271">
        <f t="shared" si="3"/>
        <v>0.36479028697571736</v>
      </c>
      <c r="I14" s="270">
        <f t="shared" si="4"/>
        <v>1322</v>
      </c>
      <c r="J14" s="269">
        <f t="shared" si="5"/>
        <v>1.7115312079340857E-2</v>
      </c>
      <c r="K14" s="263">
        <v>3910</v>
      </c>
      <c r="L14" s="271">
        <f t="shared" si="6"/>
        <v>-0.20946219167003644</v>
      </c>
      <c r="M14" s="270">
        <f t="shared" si="7"/>
        <v>-1036</v>
      </c>
      <c r="N14" s="269">
        <f t="shared" si="8"/>
        <v>1.337195582808658E-2</v>
      </c>
      <c r="O14" s="263">
        <v>4788</v>
      </c>
      <c r="P14" s="271">
        <f t="shared" si="9"/>
        <v>0.2245524296675192</v>
      </c>
      <c r="Q14" s="270">
        <f t="shared" si="10"/>
        <v>878</v>
      </c>
      <c r="R14" s="271">
        <f t="shared" si="1"/>
        <v>4.5288683602771362</v>
      </c>
      <c r="S14" s="270">
        <f t="shared" si="2"/>
        <v>3922</v>
      </c>
      <c r="T14" s="269">
        <f t="shared" si="11"/>
        <v>1.5758138249029927E-2</v>
      </c>
      <c r="V14" s="29"/>
      <c r="W14" s="81"/>
      <c r="AE14" s="1"/>
    </row>
    <row r="15" spans="1:31" s="4" customFormat="1" x14ac:dyDescent="0.25">
      <c r="B15" s="246" t="s">
        <v>49</v>
      </c>
      <c r="C15" s="263">
        <v>3282</v>
      </c>
      <c r="D15" s="263">
        <v>365</v>
      </c>
      <c r="E15" s="263">
        <v>4062</v>
      </c>
      <c r="F15" s="264">
        <f t="shared" si="0"/>
        <v>1.570814255661428E-2</v>
      </c>
      <c r="G15" s="263">
        <v>4261</v>
      </c>
      <c r="H15" s="275">
        <f t="shared" si="3"/>
        <v>4.8990645002461752E-2</v>
      </c>
      <c r="I15" s="266">
        <f t="shared" si="4"/>
        <v>199</v>
      </c>
      <c r="J15" s="264">
        <f t="shared" si="5"/>
        <v>1.4744914025489565E-2</v>
      </c>
      <c r="K15" s="263">
        <v>10922</v>
      </c>
      <c r="L15" s="271">
        <f t="shared" si="6"/>
        <v>1.5632480638347808</v>
      </c>
      <c r="M15" s="270">
        <f t="shared" si="7"/>
        <v>6661</v>
      </c>
      <c r="N15" s="269">
        <f t="shared" si="8"/>
        <v>3.7352557942291975E-2</v>
      </c>
      <c r="O15" s="263">
        <v>11731</v>
      </c>
      <c r="P15" s="271">
        <f t="shared" si="9"/>
        <v>7.4070683025087014E-2</v>
      </c>
      <c r="Q15" s="270">
        <f t="shared" si="10"/>
        <v>809</v>
      </c>
      <c r="R15" s="271">
        <f t="shared" si="1"/>
        <v>2.5743449116392445</v>
      </c>
      <c r="S15" s="270">
        <f t="shared" si="2"/>
        <v>8449</v>
      </c>
      <c r="T15" s="269">
        <f t="shared" si="11"/>
        <v>3.8608755179484144E-2</v>
      </c>
      <c r="V15" s="29"/>
      <c r="W15" s="81"/>
      <c r="AE15" s="1"/>
    </row>
    <row r="16" spans="1:31" s="4" customFormat="1" x14ac:dyDescent="0.25">
      <c r="B16" s="246" t="s">
        <v>203</v>
      </c>
      <c r="C16" s="263">
        <f>C6-SUM(C7:C15)</f>
        <v>5842</v>
      </c>
      <c r="D16" s="263">
        <f>D6-SUM(D7:D15)</f>
        <v>1944</v>
      </c>
      <c r="E16" s="263">
        <f>E6-SUM(E7:E15)</f>
        <v>8556</v>
      </c>
      <c r="F16" s="269">
        <f t="shared" si="0"/>
        <v>3.3086870436827127E-2</v>
      </c>
      <c r="G16" s="263">
        <f>G6-SUM(G7:G15)</f>
        <v>9188</v>
      </c>
      <c r="H16" s="271">
        <f t="shared" si="3"/>
        <v>7.3866292660121458E-2</v>
      </c>
      <c r="I16" s="270">
        <f t="shared" si="4"/>
        <v>632</v>
      </c>
      <c r="J16" s="269">
        <f t="shared" si="5"/>
        <v>3.1794477837643303E-2</v>
      </c>
      <c r="K16" s="263">
        <f>K6-SUM(K7:K15)</f>
        <v>8880</v>
      </c>
      <c r="L16" s="271">
        <f t="shared" si="6"/>
        <v>-3.352198519808447E-2</v>
      </c>
      <c r="M16" s="270">
        <f t="shared" si="7"/>
        <v>-308</v>
      </c>
      <c r="N16" s="269">
        <f t="shared" si="8"/>
        <v>3.0369045461229878E-2</v>
      </c>
      <c r="O16" s="263">
        <f>O6-SUM(O7:O15)</f>
        <v>9011</v>
      </c>
      <c r="P16" s="271">
        <f t="shared" si="9"/>
        <v>1.4752252252252296E-2</v>
      </c>
      <c r="Q16" s="270">
        <f t="shared" si="10"/>
        <v>131</v>
      </c>
      <c r="R16" s="271">
        <f t="shared" si="1"/>
        <v>0.54245121533721319</v>
      </c>
      <c r="S16" s="270">
        <f t="shared" si="2"/>
        <v>3169</v>
      </c>
      <c r="T16" s="269">
        <f t="shared" si="11"/>
        <v>2.9656763525899889E-2</v>
      </c>
      <c r="V16" s="29"/>
      <c r="W16" s="81"/>
      <c r="AE16" s="1"/>
    </row>
    <row r="17" spans="2:31" s="4" customFormat="1" ht="7.5" customHeight="1" x14ac:dyDescent="0.25">
      <c r="B17" s="247"/>
      <c r="C17" s="247"/>
      <c r="D17" s="247"/>
      <c r="E17" s="247"/>
      <c r="F17" s="247"/>
      <c r="G17" s="247"/>
      <c r="H17" s="247"/>
      <c r="I17" s="247"/>
      <c r="J17" s="247"/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AE17" s="1" t="s">
        <v>182</v>
      </c>
    </row>
    <row r="18" spans="2:31" s="4" customFormat="1" x14ac:dyDescent="0.25">
      <c r="B18" s="172" t="s">
        <v>183</v>
      </c>
      <c r="C18" s="172"/>
      <c r="D18" s="172"/>
      <c r="E18" s="172"/>
      <c r="F18" s="172"/>
      <c r="G18" s="172"/>
      <c r="H18" s="172"/>
      <c r="I18" s="172"/>
      <c r="J18" s="172"/>
      <c r="K18" s="172"/>
      <c r="L18" s="172"/>
      <c r="M18" s="172"/>
      <c r="N18" s="172"/>
      <c r="O18" s="172"/>
      <c r="P18" s="172"/>
      <c r="Q18" s="172"/>
      <c r="R18" s="172"/>
      <c r="S18" s="172"/>
      <c r="T18" s="172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8" t="s">
        <v>185</v>
      </c>
      <c r="C42" s="278"/>
      <c r="D42" s="278"/>
      <c r="E42" s="278"/>
      <c r="F42" s="278"/>
      <c r="G42" s="278"/>
      <c r="H42" s="278"/>
      <c r="I42" s="278"/>
      <c r="J42" s="278"/>
      <c r="K42" s="278"/>
      <c r="L42" s="278"/>
      <c r="M42" s="278"/>
      <c r="N42" s="278"/>
      <c r="O42" s="278"/>
      <c r="P42" s="278"/>
      <c r="Q42" s="278"/>
      <c r="R42" s="278"/>
      <c r="S42" s="278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9"/>
      <c r="AE44" s="1"/>
    </row>
    <row r="45" spans="2:31" s="4" customFormat="1" ht="18.75" hidden="1" x14ac:dyDescent="0.3">
      <c r="B45" s="235" t="s">
        <v>173</v>
      </c>
      <c r="C45" s="236"/>
      <c r="D45" s="236"/>
      <c r="E45" s="236"/>
      <c r="F45" s="236"/>
      <c r="G45" s="236"/>
      <c r="H45" s="236"/>
      <c r="I45" s="236"/>
      <c r="J45" s="236"/>
      <c r="K45" s="236">
        <v>1824653</v>
      </c>
      <c r="L45" s="236"/>
      <c r="M45" s="236"/>
      <c r="N45" s="237"/>
      <c r="O45" s="236">
        <v>2354005</v>
      </c>
      <c r="P45" s="237"/>
      <c r="Q45" s="237">
        <v>1</v>
      </c>
      <c r="R45" s="237">
        <v>0.2901110512519367</v>
      </c>
      <c r="S45" s="236">
        <v>529352</v>
      </c>
      <c r="T45" s="248"/>
      <c r="AE45" s="1"/>
    </row>
    <row r="46" spans="2:31" ht="18.75" hidden="1" x14ac:dyDescent="0.3">
      <c r="B46" s="235" t="s">
        <v>174</v>
      </c>
      <c r="C46" s="236"/>
      <c r="D46" s="236"/>
      <c r="E46" s="236"/>
      <c r="F46" s="236"/>
      <c r="G46" s="236"/>
      <c r="H46" s="236"/>
      <c r="I46" s="236"/>
      <c r="J46" s="236"/>
      <c r="K46" s="236">
        <v>603938</v>
      </c>
      <c r="L46" s="236"/>
      <c r="M46" s="236"/>
      <c r="N46" s="237">
        <v>1</v>
      </c>
      <c r="O46" s="236">
        <v>936181</v>
      </c>
      <c r="P46" s="237">
        <v>1</v>
      </c>
      <c r="Q46" s="237">
        <v>0.39769711619134201</v>
      </c>
      <c r="R46" s="237">
        <v>0.55012766211101138</v>
      </c>
      <c r="S46" s="236">
        <v>332243</v>
      </c>
      <c r="T46" s="248"/>
      <c r="AE46" s="1" t="s">
        <v>175</v>
      </c>
    </row>
    <row r="47" spans="2:31" ht="15.75" hidden="1" x14ac:dyDescent="0.25">
      <c r="B47" s="238" t="s">
        <v>102</v>
      </c>
      <c r="C47" s="239"/>
      <c r="D47" s="239"/>
      <c r="E47" s="239"/>
      <c r="F47" s="239"/>
      <c r="G47" s="239"/>
      <c r="H47" s="239"/>
      <c r="I47" s="239"/>
      <c r="J47" s="239"/>
      <c r="K47" s="239">
        <v>276550.36166633503</v>
      </c>
      <c r="L47" s="239"/>
      <c r="M47" s="239"/>
      <c r="N47" s="240">
        <v>0.45791184139155844</v>
      </c>
      <c r="O47" s="239">
        <v>430252.45635520399</v>
      </c>
      <c r="P47" s="240">
        <v>0.4595825554622493</v>
      </c>
      <c r="Q47" s="240">
        <v>0.18277465695918402</v>
      </c>
      <c r="R47" s="240">
        <v>0.55578337978930015</v>
      </c>
      <c r="S47" s="239">
        <v>153702.09468886897</v>
      </c>
      <c r="T47" s="249"/>
      <c r="AE47" s="1" t="s">
        <v>176</v>
      </c>
    </row>
    <row r="48" spans="2:31" s="4" customFormat="1" hidden="1" x14ac:dyDescent="0.25">
      <c r="B48" s="241" t="s">
        <v>105</v>
      </c>
      <c r="C48" s="242"/>
      <c r="D48" s="242"/>
      <c r="E48" s="242"/>
      <c r="F48" s="242"/>
      <c r="G48" s="242"/>
      <c r="H48" s="242"/>
      <c r="I48" s="242"/>
      <c r="J48" s="242"/>
      <c r="K48" s="242">
        <v>327387.63833385095</v>
      </c>
      <c r="L48" s="242"/>
      <c r="M48" s="242"/>
      <c r="N48" s="245">
        <v>0.54208815860874948</v>
      </c>
      <c r="O48" s="242">
        <v>505927.5436448183</v>
      </c>
      <c r="P48" s="245">
        <v>0.54041637636826456</v>
      </c>
      <c r="Q48" s="245">
        <v>0.21492203442423372</v>
      </c>
      <c r="R48" s="243">
        <v>0.54534711884540576</v>
      </c>
      <c r="S48" s="244">
        <v>178539.90531096736</v>
      </c>
      <c r="T48" s="251"/>
      <c r="AE48" s="1" t="s">
        <v>177</v>
      </c>
    </row>
    <row r="49" spans="2:31" s="4" customFormat="1" hidden="1" x14ac:dyDescent="0.25">
      <c r="B49" s="246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46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47"/>
      <c r="C51" s="247"/>
      <c r="D51" s="247"/>
      <c r="E51" s="247"/>
      <c r="F51" s="247"/>
      <c r="G51" s="247"/>
      <c r="H51" s="247"/>
      <c r="I51" s="247"/>
      <c r="J51" s="247"/>
      <c r="K51" s="247"/>
      <c r="L51" s="247"/>
      <c r="M51" s="247"/>
      <c r="N51" s="247"/>
      <c r="O51" s="247"/>
      <c r="P51" s="247"/>
      <c r="Q51" s="247"/>
      <c r="R51" s="247"/>
      <c r="S51" s="247"/>
      <c r="AE51" s="1" t="s">
        <v>182</v>
      </c>
    </row>
    <row r="52" spans="2:31" s="4" customFormat="1" hidden="1" x14ac:dyDescent="0.25">
      <c r="B52" s="296" t="s">
        <v>183</v>
      </c>
      <c r="C52" s="296"/>
      <c r="D52" s="296"/>
      <c r="E52" s="296"/>
      <c r="F52" s="296"/>
      <c r="G52" s="296"/>
      <c r="H52" s="296"/>
      <c r="I52" s="296"/>
      <c r="J52" s="296"/>
      <c r="K52" s="296"/>
      <c r="L52" s="296"/>
      <c r="M52" s="296"/>
      <c r="N52" s="296"/>
      <c r="O52" s="296"/>
      <c r="P52" s="296"/>
      <c r="Q52" s="296"/>
      <c r="R52" s="296"/>
      <c r="S52" s="296"/>
      <c r="T52" s="49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6"/>
      <c r="D54" s="126"/>
      <c r="E54" s="126"/>
      <c r="F54" s="126"/>
      <c r="G54" s="126"/>
      <c r="H54" s="126"/>
      <c r="I54" s="126"/>
      <c r="J54" s="126"/>
      <c r="K54" s="126">
        <v>0.54208815860874948</v>
      </c>
      <c r="L54" s="126"/>
      <c r="M54" s="126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30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6">
        <v>2020</v>
      </c>
      <c r="D135" s="186">
        <v>2021</v>
      </c>
      <c r="E135" s="186">
        <v>2022</v>
      </c>
      <c r="F135" s="186">
        <v>2023</v>
      </c>
      <c r="G135" s="174" t="str">
        <f>CONCATENATE("var. ",RIGHT(F135,2),"/",RIGHT(E135,2))</f>
        <v>var. 23/22</v>
      </c>
      <c r="H135" s="174" t="str">
        <f>CONCATENATE("dif. ",RIGHT(F135,2),"/",RIGHT(E135,2))</f>
        <v>dif. 23/22</v>
      </c>
      <c r="I135" s="174" t="str">
        <f>CONCATENATE("%/s total Península ",RIGHT(F135,4))</f>
        <v>%/s total Península 2023</v>
      </c>
      <c r="J135" s="186">
        <v>2024</v>
      </c>
      <c r="K135" s="174" t="str">
        <f>CONCATENATE("%/s total España ",RIGHT(J135,4))</f>
        <v>%/s total España 2024</v>
      </c>
      <c r="L135" s="174" t="str">
        <f>CONCATENATE("var. ",RIGHT(J135,2),"/",RIGHT(F135,2))</f>
        <v>var. 24/23</v>
      </c>
      <c r="M135" s="174" t="str">
        <f>CONCATENATE("dif. ",RIGHT(J135,2),"/",RIGHT(F135,2))</f>
        <v>dif. 24/23</v>
      </c>
      <c r="N135" s="174" t="str">
        <f>CONCATENATE("var. ",RIGHT(J135,2),"/",RIGHT(C135,2))</f>
        <v>var. 24/20</v>
      </c>
      <c r="O135" s="174" t="str">
        <f>CONCATENATE("dif. ",RIGHT(J135,2),"/",RIGHT(C135,2))</f>
        <v>dif. 24/20</v>
      </c>
      <c r="Z135" s="1"/>
    </row>
    <row r="136" spans="1:31" ht="18.75" x14ac:dyDescent="0.3">
      <c r="A136" s="4"/>
      <c r="B136" s="235" t="s">
        <v>202</v>
      </c>
      <c r="C136" s="239">
        <v>248294</v>
      </c>
      <c r="D136" s="239">
        <v>384253</v>
      </c>
      <c r="E136" s="239">
        <v>593573</v>
      </c>
      <c r="F136" s="239">
        <v>612478</v>
      </c>
      <c r="G136" s="240">
        <f>F136/E136-1</f>
        <v>3.1849494501939857E-2</v>
      </c>
      <c r="H136" s="239">
        <f>F136-E136</f>
        <v>18905</v>
      </c>
      <c r="I136" s="240">
        <f>F136/F$136</f>
        <v>1</v>
      </c>
      <c r="J136" s="239">
        <v>636461</v>
      </c>
      <c r="K136" s="240">
        <f>H136/H$136</f>
        <v>1</v>
      </c>
      <c r="L136" s="240">
        <f>J136/F136-1</f>
        <v>3.915732483452472E-2</v>
      </c>
      <c r="M136" s="239">
        <f>J136-F136</f>
        <v>23983</v>
      </c>
      <c r="N136" s="240">
        <f>J136/C136-1</f>
        <v>1.5633362062715972</v>
      </c>
      <c r="O136" s="239">
        <f>J136-C136</f>
        <v>388167</v>
      </c>
      <c r="Q136" s="29"/>
      <c r="R136" s="81"/>
      <c r="Z136" s="1" t="s">
        <v>175</v>
      </c>
      <c r="AE136"/>
    </row>
    <row r="137" spans="1:31" s="4" customFormat="1" x14ac:dyDescent="0.25">
      <c r="B137" s="246" t="s">
        <v>46</v>
      </c>
      <c r="C137" s="263">
        <v>49521</v>
      </c>
      <c r="D137" s="263">
        <v>120918</v>
      </c>
      <c r="E137" s="263">
        <v>120397</v>
      </c>
      <c r="F137" s="263">
        <v>106138</v>
      </c>
      <c r="G137" s="269">
        <f t="shared" ref="G137:G146" si="12">F137/E137-1</f>
        <v>-0.11843318355108512</v>
      </c>
      <c r="H137" s="276">
        <f t="shared" ref="H137:H146" si="13">F137-E137</f>
        <v>-14259</v>
      </c>
      <c r="I137" s="271">
        <f t="shared" ref="I137:K146" si="14">F137/F$136</f>
        <v>0.17329275500507774</v>
      </c>
      <c r="J137" s="263">
        <v>101169</v>
      </c>
      <c r="K137" s="271">
        <f t="shared" si="14"/>
        <v>-0.75424490875429784</v>
      </c>
      <c r="L137" s="271">
        <f t="shared" ref="L137:L146" si="15">J137/F137-1</f>
        <v>-4.6816408826245048E-2</v>
      </c>
      <c r="M137" s="270">
        <f t="shared" ref="M137:M146" si="16">J137-F137</f>
        <v>-4969</v>
      </c>
      <c r="N137" s="269">
        <f t="shared" ref="N137:N145" si="17">J137/C137-1</f>
        <v>1.0429514751317623</v>
      </c>
      <c r="O137" s="263">
        <f t="shared" ref="O137:O146" si="18">J137-C137</f>
        <v>51648</v>
      </c>
      <c r="Q137" s="29"/>
      <c r="R137" s="81"/>
      <c r="Z137" s="1" t="s">
        <v>177</v>
      </c>
    </row>
    <row r="138" spans="1:31" s="4" customFormat="1" x14ac:dyDescent="0.25">
      <c r="B138" s="246" t="s">
        <v>47</v>
      </c>
      <c r="C138" s="263">
        <v>26848</v>
      </c>
      <c r="D138" s="263">
        <v>39986</v>
      </c>
      <c r="E138" s="263">
        <v>75857</v>
      </c>
      <c r="F138" s="263">
        <v>67064</v>
      </c>
      <c r="G138" s="269">
        <f t="shared" si="12"/>
        <v>-0.1159154725338466</v>
      </c>
      <c r="H138" s="276">
        <f t="shared" si="13"/>
        <v>-8793</v>
      </c>
      <c r="I138" s="271">
        <f t="shared" si="14"/>
        <v>0.10949617782189727</v>
      </c>
      <c r="J138" s="263">
        <v>64415</v>
      </c>
      <c r="K138" s="271">
        <f t="shared" si="14"/>
        <v>-0.4651150489288548</v>
      </c>
      <c r="L138" s="271">
        <f t="shared" si="15"/>
        <v>-3.9499582488369267E-2</v>
      </c>
      <c r="M138" s="270">
        <f t="shared" si="16"/>
        <v>-2649</v>
      </c>
      <c r="N138" s="269">
        <f t="shared" si="17"/>
        <v>1.3992476162097733</v>
      </c>
      <c r="O138" s="263">
        <f t="shared" si="18"/>
        <v>37567</v>
      </c>
      <c r="Q138" s="29"/>
      <c r="R138" s="81"/>
      <c r="Z138" s="1"/>
    </row>
    <row r="139" spans="1:31" s="4" customFormat="1" x14ac:dyDescent="0.25">
      <c r="B139" s="246" t="s">
        <v>48</v>
      </c>
      <c r="C139" s="263">
        <v>681</v>
      </c>
      <c r="D139" s="263">
        <v>2535</v>
      </c>
      <c r="E139" s="263">
        <v>3247</v>
      </c>
      <c r="F139" s="263">
        <v>5439</v>
      </c>
      <c r="G139" s="269">
        <f t="shared" si="12"/>
        <v>0.67508469356328926</v>
      </c>
      <c r="H139" s="277">
        <f t="shared" si="13"/>
        <v>2192</v>
      </c>
      <c r="I139" s="275">
        <f t="shared" si="14"/>
        <v>8.8803189665587982E-3</v>
      </c>
      <c r="J139" s="263">
        <v>3803</v>
      </c>
      <c r="K139" s="275">
        <f t="shared" si="14"/>
        <v>0.11594816186194129</v>
      </c>
      <c r="L139" s="271">
        <f t="shared" si="15"/>
        <v>-0.30079058650487223</v>
      </c>
      <c r="M139" s="270">
        <f t="shared" si="16"/>
        <v>-1636</v>
      </c>
      <c r="N139" s="269">
        <f t="shared" si="17"/>
        <v>4.5844346549192361</v>
      </c>
      <c r="O139" s="263">
        <f t="shared" si="18"/>
        <v>3122</v>
      </c>
      <c r="Q139" s="29"/>
      <c r="R139" s="81"/>
      <c r="Z139" s="1"/>
    </row>
    <row r="140" spans="1:31" s="4" customFormat="1" x14ac:dyDescent="0.25">
      <c r="B140" s="246" t="s">
        <v>50</v>
      </c>
      <c r="C140" s="263">
        <v>74813</v>
      </c>
      <c r="D140" s="263">
        <v>114704</v>
      </c>
      <c r="E140" s="263">
        <v>244952</v>
      </c>
      <c r="F140" s="263">
        <v>249820</v>
      </c>
      <c r="G140" s="269">
        <f t="shared" si="12"/>
        <v>1.987328129592747E-2</v>
      </c>
      <c r="H140" s="276">
        <f t="shared" si="13"/>
        <v>4868</v>
      </c>
      <c r="I140" s="271">
        <f t="shared" si="14"/>
        <v>0.40788403828382408</v>
      </c>
      <c r="J140" s="263">
        <v>275953</v>
      </c>
      <c r="K140" s="271">
        <f t="shared" si="14"/>
        <v>0.25749801639777836</v>
      </c>
      <c r="L140" s="271">
        <f t="shared" si="15"/>
        <v>0.1046073172684332</v>
      </c>
      <c r="M140" s="270">
        <f t="shared" si="16"/>
        <v>26133</v>
      </c>
      <c r="N140" s="269">
        <f t="shared" si="17"/>
        <v>2.6885701682862604</v>
      </c>
      <c r="O140" s="263">
        <f t="shared" si="18"/>
        <v>201140</v>
      </c>
      <c r="Q140" s="29"/>
      <c r="R140" s="81"/>
      <c r="Z140" s="1"/>
    </row>
    <row r="141" spans="1:31" s="4" customFormat="1" x14ac:dyDescent="0.25">
      <c r="B141" s="246" t="s">
        <v>52</v>
      </c>
      <c r="C141" s="263">
        <v>25621</v>
      </c>
      <c r="D141" s="263">
        <v>20278</v>
      </c>
      <c r="E141" s="263">
        <v>32271</v>
      </c>
      <c r="F141" s="263">
        <v>36164</v>
      </c>
      <c r="G141" s="269">
        <f t="shared" si="12"/>
        <v>0.12063462551516846</v>
      </c>
      <c r="H141" s="277">
        <f t="shared" si="13"/>
        <v>3893</v>
      </c>
      <c r="I141" s="275">
        <f t="shared" si="14"/>
        <v>5.9045386119991251E-2</v>
      </c>
      <c r="J141" s="263">
        <v>33708</v>
      </c>
      <c r="K141" s="275">
        <f t="shared" si="14"/>
        <v>0.20592435863528166</v>
      </c>
      <c r="L141" s="271">
        <f t="shared" si="15"/>
        <v>-6.791284149983412E-2</v>
      </c>
      <c r="M141" s="270">
        <f t="shared" si="16"/>
        <v>-2456</v>
      </c>
      <c r="N141" s="269">
        <f t="shared" si="17"/>
        <v>0.31563951446079397</v>
      </c>
      <c r="O141" s="263">
        <f t="shared" si="18"/>
        <v>8087</v>
      </c>
      <c r="Q141" s="29"/>
      <c r="R141" s="81"/>
      <c r="Z141" s="1"/>
    </row>
    <row r="142" spans="1:31" s="4" customFormat="1" x14ac:dyDescent="0.25">
      <c r="B142" s="246" t="s">
        <v>53</v>
      </c>
      <c r="C142" s="263">
        <v>33780</v>
      </c>
      <c r="D142" s="263">
        <v>51310</v>
      </c>
      <c r="E142" s="263">
        <v>65021</v>
      </c>
      <c r="F142" s="263">
        <v>80309</v>
      </c>
      <c r="G142" s="269">
        <f t="shared" si="12"/>
        <v>0.23512403684963323</v>
      </c>
      <c r="H142" s="276">
        <f t="shared" si="13"/>
        <v>15288</v>
      </c>
      <c r="I142" s="271">
        <f t="shared" si="14"/>
        <v>0.1311214443620832</v>
      </c>
      <c r="J142" s="263">
        <v>80773</v>
      </c>
      <c r="K142" s="271">
        <f t="shared" si="14"/>
        <v>0.80867495371594811</v>
      </c>
      <c r="L142" s="271">
        <f t="shared" si="15"/>
        <v>5.7776836967213807E-3</v>
      </c>
      <c r="M142" s="270">
        <f t="shared" si="16"/>
        <v>464</v>
      </c>
      <c r="N142" s="269">
        <f t="shared" si="17"/>
        <v>1.3911486086441682</v>
      </c>
      <c r="O142" s="263">
        <f t="shared" si="18"/>
        <v>46993</v>
      </c>
      <c r="Q142" s="29"/>
      <c r="R142" s="81"/>
      <c r="Z142" s="1"/>
    </row>
    <row r="143" spans="1:31" s="4" customFormat="1" x14ac:dyDescent="0.25">
      <c r="B143" s="246" t="s">
        <v>51</v>
      </c>
      <c r="C143" s="263">
        <v>7339</v>
      </c>
      <c r="D143" s="263">
        <v>10731</v>
      </c>
      <c r="E143" s="263">
        <v>17520</v>
      </c>
      <c r="F143" s="263">
        <v>25698</v>
      </c>
      <c r="G143" s="269">
        <f t="shared" si="12"/>
        <v>0.46678082191780823</v>
      </c>
      <c r="H143" s="277">
        <f t="shared" si="13"/>
        <v>8178</v>
      </c>
      <c r="I143" s="275">
        <f t="shared" si="14"/>
        <v>4.1957425409565728E-2</v>
      </c>
      <c r="J143" s="263">
        <v>23944</v>
      </c>
      <c r="K143" s="275">
        <f t="shared" si="14"/>
        <v>0.43258397249404917</v>
      </c>
      <c r="L143" s="271">
        <f t="shared" si="15"/>
        <v>-6.8254338859055186E-2</v>
      </c>
      <c r="M143" s="270">
        <f t="shared" si="16"/>
        <v>-1754</v>
      </c>
      <c r="N143" s="269">
        <f t="shared" si="17"/>
        <v>2.2625698324022347</v>
      </c>
      <c r="O143" s="263">
        <f t="shared" si="18"/>
        <v>16605</v>
      </c>
      <c r="Q143" s="29"/>
      <c r="R143" s="81"/>
      <c r="Z143" s="1"/>
    </row>
    <row r="144" spans="1:31" s="4" customFormat="1" x14ac:dyDescent="0.25">
      <c r="B144" s="246" t="s">
        <v>54</v>
      </c>
      <c r="C144" s="263">
        <v>6781</v>
      </c>
      <c r="D144" s="263">
        <v>11021</v>
      </c>
      <c r="E144" s="263">
        <v>9118</v>
      </c>
      <c r="F144" s="263">
        <v>11280</v>
      </c>
      <c r="G144" s="269">
        <f t="shared" si="12"/>
        <v>0.23711340206185572</v>
      </c>
      <c r="H144" s="276">
        <f t="shared" si="13"/>
        <v>2162</v>
      </c>
      <c r="I144" s="271">
        <f t="shared" si="14"/>
        <v>1.8416988038754044E-2</v>
      </c>
      <c r="J144" s="263">
        <v>10812</v>
      </c>
      <c r="K144" s="271">
        <f t="shared" si="14"/>
        <v>0.1143612800846337</v>
      </c>
      <c r="L144" s="271">
        <f t="shared" si="15"/>
        <v>-4.1489361702127692E-2</v>
      </c>
      <c r="M144" s="270">
        <f t="shared" si="16"/>
        <v>-468</v>
      </c>
      <c r="N144" s="269">
        <f t="shared" si="17"/>
        <v>0.59445509511871397</v>
      </c>
      <c r="O144" s="263">
        <f t="shared" si="18"/>
        <v>4031</v>
      </c>
      <c r="Q144" s="29"/>
      <c r="R144" s="81"/>
      <c r="Z144" s="1"/>
    </row>
    <row r="145" spans="2:31" s="4" customFormat="1" x14ac:dyDescent="0.25">
      <c r="B145" s="246" t="s">
        <v>49</v>
      </c>
      <c r="C145" s="263">
        <v>15343</v>
      </c>
      <c r="D145" s="263">
        <v>4744</v>
      </c>
      <c r="E145" s="263">
        <v>9037</v>
      </c>
      <c r="F145" s="263">
        <v>15069</v>
      </c>
      <c r="G145" s="269">
        <f t="shared" si="12"/>
        <v>0.66747814540223516</v>
      </c>
      <c r="H145" s="277">
        <f t="shared" si="13"/>
        <v>6032</v>
      </c>
      <c r="I145" s="275">
        <f t="shared" si="14"/>
        <v>2.4603332691133396E-2</v>
      </c>
      <c r="J145" s="263">
        <v>23750</v>
      </c>
      <c r="K145" s="275">
        <f t="shared" si="14"/>
        <v>0.31906902935731291</v>
      </c>
      <c r="L145" s="271">
        <f t="shared" si="15"/>
        <v>0.57608334992368437</v>
      </c>
      <c r="M145" s="270">
        <f t="shared" si="16"/>
        <v>8681</v>
      </c>
      <c r="N145" s="269">
        <f t="shared" si="17"/>
        <v>0.54793717004497156</v>
      </c>
      <c r="O145" s="263">
        <f t="shared" si="18"/>
        <v>8407</v>
      </c>
      <c r="Q145" s="29"/>
      <c r="R145" s="81"/>
      <c r="Z145" s="1"/>
    </row>
    <row r="146" spans="2:31" s="4" customFormat="1" x14ac:dyDescent="0.25">
      <c r="B146" s="246" t="s">
        <v>203</v>
      </c>
      <c r="C146" s="263">
        <f>C136-SUM(C137:C145)</f>
        <v>7567</v>
      </c>
      <c r="D146" s="263">
        <f>D136-SUM(D137:D145)</f>
        <v>8026</v>
      </c>
      <c r="E146" s="263">
        <f>E136-SUM(E137:E145)</f>
        <v>16153</v>
      </c>
      <c r="F146" s="263">
        <f>F136-SUM(F137:F145)</f>
        <v>15497</v>
      </c>
      <c r="G146" s="269">
        <f t="shared" si="12"/>
        <v>-4.0611651086485456E-2</v>
      </c>
      <c r="H146" s="276">
        <f t="shared" si="13"/>
        <v>-656</v>
      </c>
      <c r="I146" s="271">
        <f t="shared" si="14"/>
        <v>2.5302133301114488E-2</v>
      </c>
      <c r="J146" s="263">
        <f>J136-SUM(J137:J145)</f>
        <v>18134</v>
      </c>
      <c r="K146" s="271">
        <f t="shared" si="14"/>
        <v>-3.4699814863792644E-2</v>
      </c>
      <c r="L146" s="271">
        <f t="shared" si="15"/>
        <v>0.17016196683229001</v>
      </c>
      <c r="M146" s="270">
        <f t="shared" si="16"/>
        <v>2637</v>
      </c>
      <c r="N146" s="269">
        <f>J146/C146-1</f>
        <v>1.3964583058015068</v>
      </c>
      <c r="O146" s="263">
        <f t="shared" si="18"/>
        <v>10567</v>
      </c>
      <c r="Q146" s="29"/>
      <c r="R146" s="81"/>
      <c r="Z146" s="1"/>
    </row>
    <row r="147" spans="2:31" s="4" customFormat="1" ht="7.5" customHeight="1" x14ac:dyDescent="0.25">
      <c r="B147" s="247"/>
      <c r="C147" s="247"/>
      <c r="D147" s="247"/>
      <c r="E147" s="247"/>
      <c r="F147" s="247"/>
      <c r="G147" s="247"/>
      <c r="H147" s="247"/>
      <c r="I147" s="247"/>
      <c r="J147" s="247"/>
      <c r="K147" s="247"/>
      <c r="L147" s="247"/>
      <c r="M147" s="247"/>
      <c r="N147" s="247"/>
      <c r="O147" s="247"/>
      <c r="Z147" s="1" t="s">
        <v>182</v>
      </c>
    </row>
    <row r="148" spans="2:31" s="4" customFormat="1" x14ac:dyDescent="0.25">
      <c r="B148" s="172" t="s">
        <v>183</v>
      </c>
      <c r="C148" s="172"/>
      <c r="D148" s="172"/>
      <c r="E148" s="172"/>
      <c r="F148" s="172"/>
      <c r="G148" s="172"/>
      <c r="H148" s="172"/>
      <c r="I148" s="172"/>
      <c r="J148" s="172"/>
      <c r="K148" s="172"/>
      <c r="L148" s="172"/>
      <c r="M148" s="172"/>
      <c r="N148" s="172"/>
      <c r="O148" s="172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4CBDFA-7281-45E3-B7D8-98C7F2A8012C}">
  <sheetPr>
    <tabColor theme="4" tint="0.39997558519241921"/>
  </sheetPr>
  <dimension ref="A1:AE14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3.5703125" customWidth="1"/>
    <col min="3" max="13" width="14.7109375" customWidth="1"/>
    <col min="14" max="14" width="11.42578125" customWidth="1"/>
    <col min="15" max="15" width="14.7109375" customWidth="1"/>
    <col min="27" max="27" width="14" customWidth="1"/>
    <col min="31" max="31" width="11.42578125" style="1"/>
  </cols>
  <sheetData>
    <row r="1" spans="1:31" ht="30" customHeight="1" x14ac:dyDescent="0.25">
      <c r="B1" s="1" t="s">
        <v>205</v>
      </c>
      <c r="G1" s="234"/>
      <c r="H1" s="234"/>
      <c r="I1" s="234"/>
      <c r="K1" s="234"/>
    </row>
    <row r="3" spans="1:31" s="4" customFormat="1" ht="25.5" customHeight="1" thickBot="1" x14ac:dyDescent="0.3">
      <c r="B3" s="66" t="s">
        <v>31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AE3" s="1"/>
    </row>
    <row r="4" spans="1:31" s="4" customFormat="1" ht="6" customHeight="1" x14ac:dyDescent="0.25">
      <c r="AE4" s="1"/>
    </row>
    <row r="5" spans="1:31" s="4" customFormat="1" ht="45" x14ac:dyDescent="0.25">
      <c r="C5" s="252" t="s">
        <v>259</v>
      </c>
      <c r="D5" s="252" t="s">
        <v>260</v>
      </c>
      <c r="E5" s="252" t="s">
        <v>261</v>
      </c>
      <c r="F5" s="253" t="str">
        <f>CONCATENATE("%/s total Tenerife ",RIGHT(E5,4))</f>
        <v>%/s total Tenerife 2022</v>
      </c>
      <c r="G5" s="252" t="s">
        <v>262</v>
      </c>
      <c r="H5" s="253" t="str">
        <f>CONCATENATE("var. ",RIGHT(G5,2),"/",RIGHT(E5,2))</f>
        <v>var. 23/22</v>
      </c>
      <c r="I5" s="253" t="str">
        <f>CONCATENATE("dif. ",RIGHT(G5,2),"/",RIGHT(E5,2))</f>
        <v>dif. 23/22</v>
      </c>
      <c r="J5" s="253" t="str">
        <f>CONCATENATE("%/s total Tenerife ",RIGHT(G5,4))</f>
        <v>%/s total Tenerife 2023</v>
      </c>
      <c r="K5" s="252" t="s">
        <v>263</v>
      </c>
      <c r="L5" s="253" t="str">
        <f>CONCATENATE("var. ",RIGHT(K5,2),"/",RIGHT(G5,2))</f>
        <v>var. 24/23</v>
      </c>
      <c r="M5" s="253" t="str">
        <f>CONCATENATE("dif. ",RIGHT(K5,2),"/",RIGHT(G5,2))</f>
        <v>dif. 24/23</v>
      </c>
      <c r="N5" s="253" t="str">
        <f>CONCATENATE("%/s total Tenerife ",RIGHT(K5,4))</f>
        <v>%/s total Tenerife 2024</v>
      </c>
      <c r="O5" s="252" t="s">
        <v>264</v>
      </c>
      <c r="P5" s="253" t="str">
        <f>CONCATENATE("var. ",RIGHT(O5,2),"/",RIGHT(K5,2))</f>
        <v>var. 25/24</v>
      </c>
      <c r="Q5" s="253" t="str">
        <f>CONCATENATE("dif. ",RIGHT(O5,2),"/",RIGHT(K5,2))</f>
        <v>dif. 25/24</v>
      </c>
      <c r="R5" s="253" t="str">
        <f>CONCATENATE("var. ",RIGHT(O5,2),"/",RIGHT(C5,2))</f>
        <v>var. 25/20</v>
      </c>
      <c r="S5" s="253" t="str">
        <f>CONCATENATE("dif. ",RIGHT(O5,2),"/",RIGHT(C5,2))</f>
        <v>dif. 25/20</v>
      </c>
      <c r="T5" s="253" t="str">
        <f>CONCATENATE("%/s total Tenerife ",RIGHT(O5,4))</f>
        <v>%/s total Tenerife 2025</v>
      </c>
      <c r="AE5" s="1"/>
    </row>
    <row r="6" spans="1:31" ht="18.75" x14ac:dyDescent="0.3">
      <c r="A6" s="4"/>
      <c r="B6" s="235" t="s">
        <v>202</v>
      </c>
      <c r="C6" s="254">
        <v>53747</v>
      </c>
      <c r="D6" s="254">
        <v>178327</v>
      </c>
      <c r="E6" s="254">
        <v>188636</v>
      </c>
      <c r="F6" s="255">
        <f>E6/$E$6</f>
        <v>1</v>
      </c>
      <c r="G6" s="254">
        <v>198523</v>
      </c>
      <c r="H6" s="255">
        <f>G6/E6-1</f>
        <v>5.2413113085519214E-2</v>
      </c>
      <c r="I6" s="254">
        <f>G6-E6</f>
        <v>9887</v>
      </c>
      <c r="J6" s="255">
        <f>G6/$G$6</f>
        <v>1</v>
      </c>
      <c r="K6" s="254">
        <v>188788</v>
      </c>
      <c r="L6" s="255">
        <f>K6/G6-1</f>
        <v>-4.9037139273535035E-2</v>
      </c>
      <c r="M6" s="254">
        <f>K6-G6</f>
        <v>-9735</v>
      </c>
      <c r="N6" s="255">
        <f>K6/$K$6</f>
        <v>1</v>
      </c>
      <c r="O6" s="254">
        <v>176794</v>
      </c>
      <c r="P6" s="255">
        <f>O6/K6-1</f>
        <v>-6.3531580397059084E-2</v>
      </c>
      <c r="Q6" s="254">
        <f>O6-K6</f>
        <v>-11994</v>
      </c>
      <c r="R6" s="255">
        <f>IFERROR(O6/C6-1,"-")</f>
        <v>2.2893742906580834</v>
      </c>
      <c r="S6" s="254">
        <f>O6-C6</f>
        <v>123047</v>
      </c>
      <c r="T6" s="255">
        <f>O6/$O$6</f>
        <v>1</v>
      </c>
      <c r="V6" s="29"/>
      <c r="W6" s="81"/>
      <c r="AE6" s="1" t="s">
        <v>175</v>
      </c>
    </row>
    <row r="7" spans="1:31" s="4" customFormat="1" x14ac:dyDescent="0.25">
      <c r="B7" s="246" t="s">
        <v>46</v>
      </c>
      <c r="C7" s="263">
        <v>9378</v>
      </c>
      <c r="D7" s="263">
        <v>60456</v>
      </c>
      <c r="E7" s="263">
        <v>40042</v>
      </c>
      <c r="F7" s="269">
        <f t="shared" ref="F7:F16" si="0">E7/$E$6</f>
        <v>0.21227125257108928</v>
      </c>
      <c r="G7" s="263">
        <v>34459</v>
      </c>
      <c r="H7" s="271">
        <f>G7/E7-1</f>
        <v>-0.13942859997003143</v>
      </c>
      <c r="I7" s="270">
        <f>G7-E7</f>
        <v>-5583</v>
      </c>
      <c r="J7" s="269">
        <f>G7/$G$6</f>
        <v>0.17357686514912629</v>
      </c>
      <c r="K7" s="263">
        <v>26251</v>
      </c>
      <c r="L7" s="271">
        <f>K7/G7-1</f>
        <v>-0.2381961171246989</v>
      </c>
      <c r="M7" s="270">
        <f>K7-G7</f>
        <v>-8208</v>
      </c>
      <c r="N7" s="269">
        <f>K7/$K$6</f>
        <v>0.13905015149267963</v>
      </c>
      <c r="O7" s="263">
        <v>27157</v>
      </c>
      <c r="P7" s="271">
        <f>O7/K7-1</f>
        <v>3.4512970934440501E-2</v>
      </c>
      <c r="Q7" s="270">
        <f>O7-K7</f>
        <v>906</v>
      </c>
      <c r="R7" s="271">
        <f t="shared" ref="R7:R16" si="1">IFERROR(O7/C7-1,"-")</f>
        <v>1.895820004265302</v>
      </c>
      <c r="S7" s="270">
        <f t="shared" ref="S7:S16" si="2">O7-C7</f>
        <v>17779</v>
      </c>
      <c r="T7" s="269">
        <f>O7/$O$6</f>
        <v>0.15360815412287748</v>
      </c>
      <c r="V7" s="29"/>
      <c r="W7" s="81"/>
      <c r="AE7" s="1" t="s">
        <v>177</v>
      </c>
    </row>
    <row r="8" spans="1:31" s="4" customFormat="1" x14ac:dyDescent="0.25">
      <c r="B8" s="246" t="s">
        <v>47</v>
      </c>
      <c r="C8" s="263">
        <v>5079</v>
      </c>
      <c r="D8" s="263">
        <v>20805</v>
      </c>
      <c r="E8" s="263">
        <v>20975</v>
      </c>
      <c r="F8" s="269">
        <f t="shared" si="0"/>
        <v>0.11119298543226107</v>
      </c>
      <c r="G8" s="263">
        <v>20053</v>
      </c>
      <c r="H8" s="271">
        <f t="shared" ref="H8:H16" si="3">G8/E8-1</f>
        <v>-4.3957091775923773E-2</v>
      </c>
      <c r="I8" s="270">
        <f t="shared" ref="I8:I16" si="4">G8-E8</f>
        <v>-922</v>
      </c>
      <c r="J8" s="269">
        <f t="shared" ref="J8:J16" si="5">G8/$G$6</f>
        <v>0.10101096598379029</v>
      </c>
      <c r="K8" s="263">
        <v>20039</v>
      </c>
      <c r="L8" s="271">
        <f t="shared" ref="L8:L16" si="6">K8/G8-1</f>
        <v>-6.9814990275773869E-4</v>
      </c>
      <c r="M8" s="270">
        <f t="shared" ref="M8:M16" si="7">K8-G8</f>
        <v>-14</v>
      </c>
      <c r="N8" s="269">
        <f t="shared" ref="N8:N16" si="8">K8/$K$6</f>
        <v>0.10614551772358413</v>
      </c>
      <c r="O8" s="263">
        <v>20361</v>
      </c>
      <c r="P8" s="271">
        <f t="shared" ref="P8:P16" si="9">O8/K8-1</f>
        <v>1.6068666101102913E-2</v>
      </c>
      <c r="Q8" s="270">
        <f t="shared" ref="Q8:Q16" si="10">O8-K8</f>
        <v>322</v>
      </c>
      <c r="R8" s="271">
        <f t="shared" si="1"/>
        <v>3.0088600118133488</v>
      </c>
      <c r="S8" s="270">
        <f t="shared" si="2"/>
        <v>15282</v>
      </c>
      <c r="T8" s="269">
        <f t="shared" ref="T8:T16" si="11">O8/$O$6</f>
        <v>0.1151679355634241</v>
      </c>
      <c r="V8" s="29"/>
      <c r="W8" s="81"/>
      <c r="AE8" s="1"/>
    </row>
    <row r="9" spans="1:31" s="4" customFormat="1" x14ac:dyDescent="0.25">
      <c r="B9" s="246" t="s">
        <v>48</v>
      </c>
      <c r="C9" s="263">
        <v>538</v>
      </c>
      <c r="D9" s="263">
        <v>685</v>
      </c>
      <c r="E9" s="263">
        <v>774</v>
      </c>
      <c r="F9" s="264">
        <f t="shared" si="0"/>
        <v>4.1031404397887999E-3</v>
      </c>
      <c r="G9" s="263">
        <v>8967</v>
      </c>
      <c r="H9" s="275">
        <f t="shared" si="3"/>
        <v>10.585271317829458</v>
      </c>
      <c r="I9" s="266">
        <f t="shared" si="4"/>
        <v>8193</v>
      </c>
      <c r="J9" s="264">
        <f t="shared" si="5"/>
        <v>4.5168569888627517E-2</v>
      </c>
      <c r="K9" s="263">
        <v>4242</v>
      </c>
      <c r="L9" s="271">
        <f t="shared" si="6"/>
        <v>-0.52693208430913341</v>
      </c>
      <c r="M9" s="270">
        <f t="shared" si="7"/>
        <v>-4725</v>
      </c>
      <c r="N9" s="269">
        <f t="shared" si="8"/>
        <v>2.2469648494607707E-2</v>
      </c>
      <c r="O9" s="263">
        <v>2844</v>
      </c>
      <c r="P9" s="271">
        <f t="shared" si="9"/>
        <v>-0.32956152758132962</v>
      </c>
      <c r="Q9" s="270">
        <f t="shared" si="10"/>
        <v>-1398</v>
      </c>
      <c r="R9" s="271">
        <f t="shared" si="1"/>
        <v>4.2862453531598517</v>
      </c>
      <c r="S9" s="270">
        <f t="shared" si="2"/>
        <v>2306</v>
      </c>
      <c r="T9" s="269">
        <f t="shared" si="11"/>
        <v>1.6086518773261536E-2</v>
      </c>
      <c r="V9" s="29"/>
      <c r="W9" s="81"/>
      <c r="AE9" s="1"/>
    </row>
    <row r="10" spans="1:31" s="4" customFormat="1" x14ac:dyDescent="0.25">
      <c r="B10" s="246" t="s">
        <v>50</v>
      </c>
      <c r="C10" s="263">
        <v>8752</v>
      </c>
      <c r="D10" s="263">
        <v>17880</v>
      </c>
      <c r="E10" s="263">
        <v>41817</v>
      </c>
      <c r="F10" s="269">
        <f t="shared" si="0"/>
        <v>0.2216809092644034</v>
      </c>
      <c r="G10" s="263">
        <v>42733</v>
      </c>
      <c r="H10" s="271">
        <f t="shared" si="3"/>
        <v>2.1904966879498833E-2</v>
      </c>
      <c r="I10" s="270">
        <f t="shared" si="4"/>
        <v>916</v>
      </c>
      <c r="J10" s="269">
        <f t="shared" si="5"/>
        <v>0.21525465563184115</v>
      </c>
      <c r="K10" s="263">
        <v>50173</v>
      </c>
      <c r="L10" s="271">
        <f t="shared" si="6"/>
        <v>0.17410432218660055</v>
      </c>
      <c r="M10" s="270">
        <f t="shared" si="7"/>
        <v>7440</v>
      </c>
      <c r="N10" s="269">
        <f t="shared" si="8"/>
        <v>0.26576371379536834</v>
      </c>
      <c r="O10" s="263">
        <v>41021</v>
      </c>
      <c r="P10" s="271">
        <f t="shared" si="9"/>
        <v>-0.18240886532597211</v>
      </c>
      <c r="Q10" s="270">
        <f t="shared" si="10"/>
        <v>-9152</v>
      </c>
      <c r="R10" s="271">
        <f t="shared" si="1"/>
        <v>3.6870429616087748</v>
      </c>
      <c r="S10" s="270">
        <f t="shared" si="2"/>
        <v>32269</v>
      </c>
      <c r="T10" s="269">
        <f>O10/$O$6</f>
        <v>0.23202710499225088</v>
      </c>
      <c r="V10" s="29"/>
      <c r="W10" s="81"/>
      <c r="AE10" s="1"/>
    </row>
    <row r="11" spans="1:31" s="4" customFormat="1" x14ac:dyDescent="0.25">
      <c r="B11" s="246" t="s">
        <v>52</v>
      </c>
      <c r="C11" s="263">
        <v>1451</v>
      </c>
      <c r="D11" s="263">
        <v>14560</v>
      </c>
      <c r="E11" s="263">
        <v>7536</v>
      </c>
      <c r="F11" s="264">
        <f t="shared" si="0"/>
        <v>3.9949956530036683E-2</v>
      </c>
      <c r="G11" s="263">
        <v>9982</v>
      </c>
      <c r="H11" s="275">
        <f t="shared" si="3"/>
        <v>0.3245753715498938</v>
      </c>
      <c r="I11" s="266">
        <f t="shared" si="4"/>
        <v>2446</v>
      </c>
      <c r="J11" s="264">
        <f t="shared" si="5"/>
        <v>5.0281327604358182E-2</v>
      </c>
      <c r="K11" s="263">
        <v>6776</v>
      </c>
      <c r="L11" s="271">
        <f t="shared" si="6"/>
        <v>-0.32117812061711082</v>
      </c>
      <c r="M11" s="270">
        <f t="shared" si="7"/>
        <v>-3206</v>
      </c>
      <c r="N11" s="269">
        <f t="shared" si="8"/>
        <v>3.5892111786766108E-2</v>
      </c>
      <c r="O11" s="263">
        <v>8640</v>
      </c>
      <c r="P11" s="271">
        <f t="shared" si="9"/>
        <v>0.27508854781582048</v>
      </c>
      <c r="Q11" s="270">
        <f t="shared" si="10"/>
        <v>1864</v>
      </c>
      <c r="R11" s="271">
        <f t="shared" si="1"/>
        <v>4.9545141281874567</v>
      </c>
      <c r="S11" s="270">
        <f t="shared" si="2"/>
        <v>7189</v>
      </c>
      <c r="T11" s="269">
        <f t="shared" si="11"/>
        <v>4.8870436779528716E-2</v>
      </c>
      <c r="V11" s="29"/>
      <c r="W11" s="81"/>
      <c r="AE11" s="1"/>
    </row>
    <row r="12" spans="1:31" s="4" customFormat="1" x14ac:dyDescent="0.25">
      <c r="B12" s="246" t="s">
        <v>53</v>
      </c>
      <c r="C12" s="263">
        <v>13715</v>
      </c>
      <c r="D12" s="263">
        <v>20861</v>
      </c>
      <c r="E12" s="263">
        <v>31514</v>
      </c>
      <c r="F12" s="269">
        <f t="shared" si="0"/>
        <v>0.16706249072287369</v>
      </c>
      <c r="G12" s="263">
        <v>35561</v>
      </c>
      <c r="H12" s="271">
        <f t="shared" si="3"/>
        <v>0.12841911531382877</v>
      </c>
      <c r="I12" s="270">
        <f t="shared" si="4"/>
        <v>4047</v>
      </c>
      <c r="J12" s="269">
        <f t="shared" si="5"/>
        <v>0.17912785924049102</v>
      </c>
      <c r="K12" s="263">
        <v>34109</v>
      </c>
      <c r="L12" s="271">
        <f t="shared" si="6"/>
        <v>-4.0831247715193641E-2</v>
      </c>
      <c r="M12" s="270">
        <f t="shared" si="7"/>
        <v>-1452</v>
      </c>
      <c r="N12" s="269">
        <f t="shared" si="8"/>
        <v>0.18067355976015426</v>
      </c>
      <c r="O12" s="263">
        <v>44044</v>
      </c>
      <c r="P12" s="271">
        <f t="shared" si="9"/>
        <v>0.29127209827318312</v>
      </c>
      <c r="Q12" s="270">
        <f t="shared" si="10"/>
        <v>9935</v>
      </c>
      <c r="R12" s="271">
        <f t="shared" si="1"/>
        <v>2.2113744075829382</v>
      </c>
      <c r="S12" s="270">
        <f t="shared" si="2"/>
        <v>30329</v>
      </c>
      <c r="T12" s="269">
        <f t="shared" si="11"/>
        <v>0.24912610156453274</v>
      </c>
      <c r="V12" s="29"/>
      <c r="W12" s="81"/>
      <c r="AE12" s="1"/>
    </row>
    <row r="13" spans="1:31" s="4" customFormat="1" x14ac:dyDescent="0.25">
      <c r="B13" s="246" t="s">
        <v>51</v>
      </c>
      <c r="C13" s="263">
        <v>4239</v>
      </c>
      <c r="D13" s="263">
        <v>4253</v>
      </c>
      <c r="E13" s="263">
        <v>7500</v>
      </c>
      <c r="F13" s="264">
        <f t="shared" si="0"/>
        <v>3.9759112788651157E-2</v>
      </c>
      <c r="G13" s="263">
        <v>5955</v>
      </c>
      <c r="H13" s="275">
        <f t="shared" si="3"/>
        <v>-0.20599999999999996</v>
      </c>
      <c r="I13" s="266">
        <f t="shared" si="4"/>
        <v>-1545</v>
      </c>
      <c r="J13" s="264">
        <f t="shared" si="5"/>
        <v>2.9996524332193249E-2</v>
      </c>
      <c r="K13" s="263">
        <v>4664</v>
      </c>
      <c r="L13" s="271">
        <f t="shared" si="6"/>
        <v>-0.21679261125104954</v>
      </c>
      <c r="M13" s="270">
        <f t="shared" si="7"/>
        <v>-1291</v>
      </c>
      <c r="N13" s="269">
        <f t="shared" si="8"/>
        <v>2.4704960061020829E-2</v>
      </c>
      <c r="O13" s="263">
        <v>5394</v>
      </c>
      <c r="P13" s="271">
        <f t="shared" si="9"/>
        <v>0.15651801029159529</v>
      </c>
      <c r="Q13" s="270">
        <f t="shared" si="10"/>
        <v>730</v>
      </c>
      <c r="R13" s="271">
        <f t="shared" si="1"/>
        <v>0.27246992215145083</v>
      </c>
      <c r="S13" s="270">
        <f t="shared" si="2"/>
        <v>1155</v>
      </c>
      <c r="T13" s="269">
        <f t="shared" si="11"/>
        <v>3.0510085183886333E-2</v>
      </c>
      <c r="V13" s="29"/>
      <c r="W13" s="81"/>
      <c r="AE13" s="1"/>
    </row>
    <row r="14" spans="1:31" s="4" customFormat="1" x14ac:dyDescent="0.25">
      <c r="B14" s="246" t="s">
        <v>54</v>
      </c>
      <c r="C14" s="263">
        <v>1763</v>
      </c>
      <c r="D14" s="263">
        <v>16632</v>
      </c>
      <c r="E14" s="263">
        <v>7875</v>
      </c>
      <c r="F14" s="269">
        <f t="shared" si="0"/>
        <v>4.174706842808372E-2</v>
      </c>
      <c r="G14" s="263">
        <v>9587</v>
      </c>
      <c r="H14" s="271">
        <f t="shared" si="3"/>
        <v>0.21739682539682548</v>
      </c>
      <c r="I14" s="270">
        <f t="shared" si="4"/>
        <v>1712</v>
      </c>
      <c r="J14" s="269">
        <f t="shared" si="5"/>
        <v>4.8291633714985169E-2</v>
      </c>
      <c r="K14" s="263">
        <v>7128</v>
      </c>
      <c r="L14" s="271">
        <f t="shared" si="6"/>
        <v>-0.25649316783143838</v>
      </c>
      <c r="M14" s="270">
        <f t="shared" si="7"/>
        <v>-2459</v>
      </c>
      <c r="N14" s="269">
        <f t="shared" si="8"/>
        <v>3.7756637074390323E-2</v>
      </c>
      <c r="O14" s="263">
        <v>4681</v>
      </c>
      <c r="P14" s="271">
        <f t="shared" si="9"/>
        <v>-0.34329405162738491</v>
      </c>
      <c r="Q14" s="270">
        <f t="shared" si="10"/>
        <v>-2447</v>
      </c>
      <c r="R14" s="271">
        <f t="shared" si="1"/>
        <v>1.6551332955190019</v>
      </c>
      <c r="S14" s="270">
        <f t="shared" si="2"/>
        <v>2918</v>
      </c>
      <c r="T14" s="269">
        <f t="shared" si="11"/>
        <v>2.6477142889464574E-2</v>
      </c>
      <c r="V14" s="29"/>
      <c r="W14" s="81"/>
      <c r="AE14" s="1"/>
    </row>
    <row r="15" spans="1:31" s="4" customFormat="1" x14ac:dyDescent="0.25">
      <c r="B15" s="246" t="s">
        <v>49</v>
      </c>
      <c r="C15" s="263">
        <v>2263</v>
      </c>
      <c r="D15" s="263">
        <v>8610</v>
      </c>
      <c r="E15" s="263">
        <v>11257</v>
      </c>
      <c r="F15" s="264">
        <f t="shared" si="0"/>
        <v>5.9675777688246147E-2</v>
      </c>
      <c r="G15" s="263">
        <v>11294</v>
      </c>
      <c r="H15" s="275">
        <f t="shared" si="3"/>
        <v>3.2868437416717633E-3</v>
      </c>
      <c r="I15" s="266">
        <f t="shared" si="4"/>
        <v>37</v>
      </c>
      <c r="J15" s="264">
        <f t="shared" si="5"/>
        <v>5.689013363690857E-2</v>
      </c>
      <c r="K15" s="263">
        <v>17808</v>
      </c>
      <c r="L15" s="271">
        <f t="shared" si="6"/>
        <v>0.57676642465025685</v>
      </c>
      <c r="M15" s="270">
        <f t="shared" si="7"/>
        <v>6514</v>
      </c>
      <c r="N15" s="269">
        <f t="shared" si="8"/>
        <v>9.4328029323897708E-2</v>
      </c>
      <c r="O15" s="263">
        <v>7441</v>
      </c>
      <c r="P15" s="271">
        <f t="shared" si="9"/>
        <v>-0.58215408805031443</v>
      </c>
      <c r="Q15" s="270">
        <f t="shared" si="10"/>
        <v>-10367</v>
      </c>
      <c r="R15" s="271">
        <f t="shared" si="1"/>
        <v>2.2881131241714536</v>
      </c>
      <c r="S15" s="270">
        <f t="shared" si="2"/>
        <v>5178</v>
      </c>
      <c r="T15" s="269">
        <f t="shared" si="11"/>
        <v>4.208853241625847E-2</v>
      </c>
      <c r="V15" s="29"/>
      <c r="W15" s="81"/>
      <c r="AE15" s="1"/>
    </row>
    <row r="16" spans="1:31" s="4" customFormat="1" x14ac:dyDescent="0.25">
      <c r="B16" s="246" t="s">
        <v>203</v>
      </c>
      <c r="C16" s="263">
        <f>C6-SUM(C7:C15)</f>
        <v>6569</v>
      </c>
      <c r="D16" s="263">
        <f>D6-SUM(D7:D15)</f>
        <v>13585</v>
      </c>
      <c r="E16" s="263">
        <f>E6-SUM(E7:E15)</f>
        <v>19346</v>
      </c>
      <c r="F16" s="269">
        <f t="shared" si="0"/>
        <v>0.10255730613456604</v>
      </c>
      <c r="G16" s="263">
        <f>G6-SUM(G7:G15)</f>
        <v>19932</v>
      </c>
      <c r="H16" s="271">
        <f t="shared" si="3"/>
        <v>3.029049932802641E-2</v>
      </c>
      <c r="I16" s="270">
        <f t="shared" si="4"/>
        <v>586</v>
      </c>
      <c r="J16" s="269">
        <f t="shared" si="5"/>
        <v>0.10040146481767856</v>
      </c>
      <c r="K16" s="263">
        <f>K6-SUM(K7:K15)</f>
        <v>17598</v>
      </c>
      <c r="L16" s="271">
        <f t="shared" si="6"/>
        <v>-0.11709813365442501</v>
      </c>
      <c r="M16" s="270">
        <f t="shared" si="7"/>
        <v>-2334</v>
      </c>
      <c r="N16" s="269">
        <f t="shared" si="8"/>
        <v>9.3215670487530988E-2</v>
      </c>
      <c r="O16" s="263">
        <f>O6-SUM(O7:O15)</f>
        <v>15211</v>
      </c>
      <c r="P16" s="271">
        <f t="shared" si="9"/>
        <v>-0.1356404136833731</v>
      </c>
      <c r="Q16" s="270">
        <f t="shared" si="10"/>
        <v>-2387</v>
      </c>
      <c r="R16" s="271">
        <f t="shared" si="1"/>
        <v>1.3155731465976555</v>
      </c>
      <c r="S16" s="270">
        <f t="shared" si="2"/>
        <v>8642</v>
      </c>
      <c r="T16" s="269">
        <f t="shared" si="11"/>
        <v>8.6037987714515193E-2</v>
      </c>
      <c r="V16" s="29"/>
      <c r="W16" s="81"/>
      <c r="AE16" s="1"/>
    </row>
    <row r="17" spans="2:31" s="4" customFormat="1" ht="7.5" customHeight="1" x14ac:dyDescent="0.25">
      <c r="B17" s="247"/>
      <c r="C17" s="247"/>
      <c r="D17" s="247"/>
      <c r="E17" s="247"/>
      <c r="F17" s="247"/>
      <c r="G17" s="247"/>
      <c r="H17" s="247"/>
      <c r="I17" s="247"/>
      <c r="J17" s="247"/>
      <c r="K17" s="247"/>
      <c r="L17" s="247"/>
      <c r="M17" s="247"/>
      <c r="N17" s="247"/>
      <c r="O17" s="247"/>
      <c r="P17" s="247"/>
      <c r="Q17" s="247"/>
      <c r="R17" s="247"/>
      <c r="S17" s="247"/>
      <c r="T17" s="247"/>
      <c r="AE17" s="1" t="s">
        <v>182</v>
      </c>
    </row>
    <row r="18" spans="2:31" s="4" customFormat="1" x14ac:dyDescent="0.25">
      <c r="B18" s="172" t="s">
        <v>183</v>
      </c>
      <c r="C18" s="172"/>
      <c r="D18" s="172"/>
      <c r="E18" s="172"/>
      <c r="F18" s="172"/>
      <c r="G18" s="172"/>
      <c r="H18" s="172"/>
      <c r="I18" s="172"/>
      <c r="J18" s="172"/>
      <c r="K18" s="172"/>
      <c r="L18" s="172"/>
      <c r="M18" s="172"/>
      <c r="N18" s="172"/>
      <c r="O18" s="172"/>
      <c r="P18" s="172"/>
      <c r="Q18" s="172"/>
      <c r="R18" s="172"/>
      <c r="S18" s="172"/>
      <c r="T18" s="172"/>
      <c r="AE18" s="1" t="s">
        <v>184</v>
      </c>
    </row>
    <row r="19" spans="2:31" s="4" customFormat="1" x14ac:dyDescent="0.25">
      <c r="AE19" s="1"/>
    </row>
    <row r="42" spans="2:31" s="4" customFormat="1" ht="15.75" hidden="1" customHeight="1" thickBot="1" x14ac:dyDescent="0.3">
      <c r="B42" s="278" t="s">
        <v>185</v>
      </c>
      <c r="C42" s="278"/>
      <c r="D42" s="278"/>
      <c r="E42" s="278"/>
      <c r="F42" s="278"/>
      <c r="G42" s="278"/>
      <c r="H42" s="278"/>
      <c r="I42" s="278"/>
      <c r="J42" s="278"/>
      <c r="K42" s="278"/>
      <c r="L42" s="278"/>
      <c r="M42" s="278"/>
      <c r="N42" s="278"/>
      <c r="O42" s="278"/>
      <c r="P42" s="278"/>
      <c r="Q42" s="278"/>
      <c r="R42" s="278"/>
      <c r="S42" s="278"/>
      <c r="T42" s="85"/>
      <c r="AE42" s="1"/>
    </row>
    <row r="43" spans="2:31" s="4" customFormat="1" ht="6" hidden="1" customHeight="1" thickBot="1" x14ac:dyDescent="0.3">
      <c r="AE43" s="1"/>
    </row>
    <row r="44" spans="2:31" s="4" customFormat="1" ht="30" hidden="1" x14ac:dyDescent="0.25">
      <c r="C44" s="89"/>
      <c r="D44" s="89"/>
      <c r="E44" s="89"/>
      <c r="F44" s="89"/>
      <c r="G44" s="89"/>
      <c r="H44" s="89"/>
      <c r="I44" s="89"/>
      <c r="J44" s="89"/>
      <c r="K44" s="14">
        <v>2020</v>
      </c>
      <c r="L44" s="14"/>
      <c r="M44" s="14"/>
      <c r="N44" s="14" t="s">
        <v>186</v>
      </c>
      <c r="O44" s="14">
        <v>2021</v>
      </c>
      <c r="P44" s="14" t="s">
        <v>186</v>
      </c>
      <c r="Q44" s="14" t="s">
        <v>187</v>
      </c>
      <c r="R44" s="14" t="s">
        <v>188</v>
      </c>
      <c r="S44" s="14" t="s">
        <v>189</v>
      </c>
      <c r="T44" s="89"/>
      <c r="AE44" s="1"/>
    </row>
    <row r="45" spans="2:31" s="4" customFormat="1" ht="18.75" hidden="1" x14ac:dyDescent="0.3">
      <c r="B45" s="235" t="s">
        <v>173</v>
      </c>
      <c r="C45" s="236"/>
      <c r="D45" s="236"/>
      <c r="E45" s="236"/>
      <c r="F45" s="236"/>
      <c r="G45" s="236"/>
      <c r="H45" s="236"/>
      <c r="I45" s="236"/>
      <c r="J45" s="236"/>
      <c r="K45" s="236">
        <v>1824653</v>
      </c>
      <c r="L45" s="236"/>
      <c r="M45" s="236"/>
      <c r="N45" s="237"/>
      <c r="O45" s="236">
        <v>2354005</v>
      </c>
      <c r="P45" s="237"/>
      <c r="Q45" s="237">
        <v>1</v>
      </c>
      <c r="R45" s="237">
        <v>0.2901110512519367</v>
      </c>
      <c r="S45" s="236">
        <v>529352</v>
      </c>
      <c r="T45" s="248"/>
      <c r="AE45" s="1"/>
    </row>
    <row r="46" spans="2:31" ht="18.75" hidden="1" x14ac:dyDescent="0.3">
      <c r="B46" s="235" t="s">
        <v>174</v>
      </c>
      <c r="C46" s="236"/>
      <c r="D46" s="236"/>
      <c r="E46" s="236"/>
      <c r="F46" s="236"/>
      <c r="G46" s="236"/>
      <c r="H46" s="236"/>
      <c r="I46" s="236"/>
      <c r="J46" s="236"/>
      <c r="K46" s="236">
        <v>603938</v>
      </c>
      <c r="L46" s="236"/>
      <c r="M46" s="236"/>
      <c r="N46" s="237">
        <v>1</v>
      </c>
      <c r="O46" s="236">
        <v>936181</v>
      </c>
      <c r="P46" s="237">
        <v>1</v>
      </c>
      <c r="Q46" s="237">
        <v>0.39769711619134201</v>
      </c>
      <c r="R46" s="237">
        <v>0.55012766211101138</v>
      </c>
      <c r="S46" s="236">
        <v>332243</v>
      </c>
      <c r="T46" s="248"/>
      <c r="AE46" s="1" t="s">
        <v>175</v>
      </c>
    </row>
    <row r="47" spans="2:31" ht="15.75" hidden="1" x14ac:dyDescent="0.25">
      <c r="B47" s="238" t="s">
        <v>102</v>
      </c>
      <c r="C47" s="239"/>
      <c r="D47" s="239"/>
      <c r="E47" s="239"/>
      <c r="F47" s="239"/>
      <c r="G47" s="239"/>
      <c r="H47" s="239"/>
      <c r="I47" s="239"/>
      <c r="J47" s="239"/>
      <c r="K47" s="239">
        <v>276550.36166633503</v>
      </c>
      <c r="L47" s="239"/>
      <c r="M47" s="239"/>
      <c r="N47" s="240">
        <v>0.45791184139155844</v>
      </c>
      <c r="O47" s="239">
        <v>430252.45635520399</v>
      </c>
      <c r="P47" s="240">
        <v>0.4595825554622493</v>
      </c>
      <c r="Q47" s="240">
        <v>0.18277465695918402</v>
      </c>
      <c r="R47" s="240">
        <v>0.55578337978930015</v>
      </c>
      <c r="S47" s="239">
        <v>153702.09468886897</v>
      </c>
      <c r="T47" s="249"/>
      <c r="AE47" s="1" t="s">
        <v>176</v>
      </c>
    </row>
    <row r="48" spans="2:31" s="4" customFormat="1" hidden="1" x14ac:dyDescent="0.25">
      <c r="B48" s="241" t="s">
        <v>105</v>
      </c>
      <c r="C48" s="242"/>
      <c r="D48" s="242"/>
      <c r="E48" s="242"/>
      <c r="F48" s="242"/>
      <c r="G48" s="242"/>
      <c r="H48" s="242"/>
      <c r="I48" s="242"/>
      <c r="J48" s="242"/>
      <c r="K48" s="242">
        <v>327387.63833385095</v>
      </c>
      <c r="L48" s="242"/>
      <c r="M48" s="242"/>
      <c r="N48" s="245">
        <v>0.54208815860874948</v>
      </c>
      <c r="O48" s="242">
        <v>505927.5436448183</v>
      </c>
      <c r="P48" s="245">
        <v>0.54041637636826456</v>
      </c>
      <c r="Q48" s="245">
        <v>0.21492203442423372</v>
      </c>
      <c r="R48" s="243">
        <v>0.54534711884540576</v>
      </c>
      <c r="S48" s="244">
        <v>178539.90531096736</v>
      </c>
      <c r="T48" s="251"/>
      <c r="AE48" s="1" t="s">
        <v>177</v>
      </c>
    </row>
    <row r="49" spans="2:31" s="4" customFormat="1" hidden="1" x14ac:dyDescent="0.25">
      <c r="B49" s="246" t="s">
        <v>178</v>
      </c>
      <c r="C49" s="29"/>
      <c r="D49" s="29"/>
      <c r="E49" s="29"/>
      <c r="F49" s="29"/>
      <c r="G49" s="29"/>
      <c r="H49" s="29"/>
      <c r="I49" s="29"/>
      <c r="J49" s="29"/>
      <c r="K49" s="29">
        <v>242109.12821622068</v>
      </c>
      <c r="L49" s="29"/>
      <c r="M49" s="29"/>
      <c r="N49" s="31">
        <v>0.4008840778626625</v>
      </c>
      <c r="O49" s="29">
        <v>391384.01224089495</v>
      </c>
      <c r="P49" s="31">
        <v>0.41806446855992052</v>
      </c>
      <c r="Q49" s="31">
        <v>0.16626303352834634</v>
      </c>
      <c r="R49" s="22">
        <v>0.61656033014732592</v>
      </c>
      <c r="S49" s="20">
        <v>149274.88402467428</v>
      </c>
      <c r="T49" s="20"/>
      <c r="AE49" s="1" t="s">
        <v>179</v>
      </c>
    </row>
    <row r="50" spans="2:31" s="4" customFormat="1" hidden="1" x14ac:dyDescent="0.25">
      <c r="B50" s="246" t="s">
        <v>180</v>
      </c>
      <c r="C50" s="29"/>
      <c r="D50" s="29"/>
      <c r="E50" s="29"/>
      <c r="F50" s="29"/>
      <c r="G50" s="29"/>
      <c r="H50" s="29"/>
      <c r="I50" s="29"/>
      <c r="J50" s="29"/>
      <c r="K50" s="29">
        <v>85278.510117630256</v>
      </c>
      <c r="L50" s="29"/>
      <c r="M50" s="29"/>
      <c r="N50" s="31">
        <v>0.14120408074608695</v>
      </c>
      <c r="O50" s="29">
        <v>114543.53140392336</v>
      </c>
      <c r="P50" s="31">
        <v>0.12235190780834407</v>
      </c>
      <c r="Q50" s="31">
        <v>4.8659000895887379E-2</v>
      </c>
      <c r="R50" s="22">
        <v>0.34316994100771625</v>
      </c>
      <c r="S50" s="20">
        <v>29265.021286293108</v>
      </c>
      <c r="T50" s="20"/>
      <c r="AE50" s="1" t="s">
        <v>181</v>
      </c>
    </row>
    <row r="51" spans="2:31" s="4" customFormat="1" ht="7.5" hidden="1" customHeight="1" x14ac:dyDescent="0.25">
      <c r="B51" s="247"/>
      <c r="C51" s="247"/>
      <c r="D51" s="247"/>
      <c r="E51" s="247"/>
      <c r="F51" s="247"/>
      <c r="G51" s="247"/>
      <c r="H51" s="247"/>
      <c r="I51" s="247"/>
      <c r="J51" s="247"/>
      <c r="K51" s="247"/>
      <c r="L51" s="247"/>
      <c r="M51" s="247"/>
      <c r="N51" s="247"/>
      <c r="O51" s="247"/>
      <c r="P51" s="247"/>
      <c r="Q51" s="247"/>
      <c r="R51" s="247"/>
      <c r="S51" s="247"/>
      <c r="AE51" s="1" t="s">
        <v>182</v>
      </c>
    </row>
    <row r="52" spans="2:31" s="4" customFormat="1" hidden="1" x14ac:dyDescent="0.25">
      <c r="B52" s="296" t="s">
        <v>183</v>
      </c>
      <c r="C52" s="296"/>
      <c r="D52" s="296"/>
      <c r="E52" s="296"/>
      <c r="F52" s="296"/>
      <c r="G52" s="296"/>
      <c r="H52" s="296"/>
      <c r="I52" s="296"/>
      <c r="J52" s="296"/>
      <c r="K52" s="296"/>
      <c r="L52" s="296"/>
      <c r="M52" s="296"/>
      <c r="N52" s="296"/>
      <c r="O52" s="296"/>
      <c r="P52" s="296"/>
      <c r="Q52" s="296"/>
      <c r="R52" s="296"/>
      <c r="S52" s="296"/>
      <c r="T52" s="49"/>
      <c r="AE52" s="1" t="s">
        <v>184</v>
      </c>
    </row>
    <row r="53" spans="2:31" s="4" customFormat="1" hidden="1" x14ac:dyDescent="0.25">
      <c r="AE53" s="1"/>
    </row>
    <row r="54" spans="2:31" hidden="1" x14ac:dyDescent="0.25">
      <c r="C54" s="126"/>
      <c r="D54" s="126"/>
      <c r="E54" s="126"/>
      <c r="F54" s="126"/>
      <c r="G54" s="126"/>
      <c r="H54" s="126"/>
      <c r="I54" s="126"/>
      <c r="J54" s="126"/>
      <c r="K54" s="126">
        <v>0.54208815860874948</v>
      </c>
      <c r="L54" s="126"/>
      <c r="M54" s="126"/>
    </row>
    <row r="55" spans="2:31" hidden="1" x14ac:dyDescent="0.25"/>
    <row r="56" spans="2:31" hidden="1" x14ac:dyDescent="0.25"/>
    <row r="57" spans="2:31" hidden="1" x14ac:dyDescent="0.25"/>
    <row r="58" spans="2:31" hidden="1" x14ac:dyDescent="0.25"/>
    <row r="59" spans="2:31" hidden="1" x14ac:dyDescent="0.25"/>
    <row r="60" spans="2:31" hidden="1" x14ac:dyDescent="0.25"/>
    <row r="61" spans="2:31" hidden="1" x14ac:dyDescent="0.25"/>
    <row r="62" spans="2:31" hidden="1" x14ac:dyDescent="0.25"/>
    <row r="63" spans="2:31" hidden="1" x14ac:dyDescent="0.25"/>
    <row r="64" spans="2:31" hidden="1" x14ac:dyDescent="0.25"/>
    <row r="65" hidden="1" x14ac:dyDescent="0.25"/>
    <row r="66" hidden="1" x14ac:dyDescent="0.25"/>
    <row r="67" hidden="1" x14ac:dyDescent="0.25"/>
    <row r="68" hidden="1" x14ac:dyDescent="0.25"/>
    <row r="69" hidden="1" x14ac:dyDescent="0.25"/>
    <row r="70" hidden="1" x14ac:dyDescent="0.25"/>
    <row r="71" hidden="1" x14ac:dyDescent="0.25"/>
    <row r="72" hidden="1" x14ac:dyDescent="0.25"/>
    <row r="73" hidden="1" x14ac:dyDescent="0.25"/>
    <row r="74" hidden="1" x14ac:dyDescent="0.25"/>
    <row r="75" hidden="1" x14ac:dyDescent="0.25"/>
    <row r="76" hidden="1" x14ac:dyDescent="0.25"/>
    <row r="77" hidden="1" x14ac:dyDescent="0.25"/>
    <row r="78" hidden="1" x14ac:dyDescent="0.25"/>
    <row r="79" hidden="1" x14ac:dyDescent="0.25"/>
    <row r="80" hidden="1" x14ac:dyDescent="0.25"/>
    <row r="81" hidden="1" x14ac:dyDescent="0.25"/>
    <row r="82" hidden="1" x14ac:dyDescent="0.25"/>
    <row r="83" hidden="1" x14ac:dyDescent="0.25"/>
    <row r="84" hidden="1" x14ac:dyDescent="0.25"/>
    <row r="85" hidden="1" x14ac:dyDescent="0.25"/>
    <row r="86" hidden="1" x14ac:dyDescent="0.25"/>
    <row r="87" hidden="1" x14ac:dyDescent="0.25"/>
    <row r="88" hidden="1" x14ac:dyDescent="0.25"/>
    <row r="89" hidden="1" x14ac:dyDescent="0.25"/>
    <row r="90" hidden="1" x14ac:dyDescent="0.25"/>
    <row r="91" hidden="1" x14ac:dyDescent="0.25"/>
    <row r="92" hidden="1" x14ac:dyDescent="0.25"/>
    <row r="93" hidden="1" x14ac:dyDescent="0.25"/>
    <row r="94" hidden="1" x14ac:dyDescent="0.25"/>
    <row r="95" hidden="1" x14ac:dyDescent="0.25"/>
    <row r="96" hidden="1" x14ac:dyDescent="0.25"/>
    <row r="97" hidden="1" x14ac:dyDescent="0.25"/>
    <row r="98" hidden="1" x14ac:dyDescent="0.25"/>
    <row r="99" hidden="1" x14ac:dyDescent="0.25"/>
    <row r="100" hidden="1" x14ac:dyDescent="0.25"/>
    <row r="101" hidden="1" x14ac:dyDescent="0.25"/>
    <row r="102" hidden="1" x14ac:dyDescent="0.25"/>
    <row r="103" hidden="1" x14ac:dyDescent="0.25"/>
    <row r="104" hidden="1" x14ac:dyDescent="0.25"/>
    <row r="105" hidden="1" x14ac:dyDescent="0.25"/>
    <row r="106" hidden="1" x14ac:dyDescent="0.25"/>
    <row r="107" hidden="1" x14ac:dyDescent="0.25"/>
    <row r="108" hidden="1" x14ac:dyDescent="0.25"/>
    <row r="109" hidden="1" x14ac:dyDescent="0.25"/>
    <row r="110" hidden="1" x14ac:dyDescent="0.25"/>
    <row r="111" hidden="1" x14ac:dyDescent="0.25"/>
    <row r="112" hidden="1" x14ac:dyDescent="0.25"/>
    <row r="113" hidden="1" x14ac:dyDescent="0.25"/>
    <row r="114" hidden="1" x14ac:dyDescent="0.25"/>
    <row r="115" hidden="1" x14ac:dyDescent="0.25"/>
    <row r="116" hidden="1" x14ac:dyDescent="0.25"/>
    <row r="117" hidden="1" x14ac:dyDescent="0.25"/>
    <row r="118" hidden="1" x14ac:dyDescent="0.25"/>
    <row r="119" hidden="1" x14ac:dyDescent="0.25"/>
    <row r="120" hidden="1" x14ac:dyDescent="0.25"/>
    <row r="121" hidden="1" x14ac:dyDescent="0.25"/>
    <row r="133" spans="1:31" s="4" customFormat="1" ht="25.5" customHeight="1" thickBot="1" x14ac:dyDescent="0.3">
      <c r="B133" s="66" t="s">
        <v>31</v>
      </c>
      <c r="C133" s="66"/>
      <c r="D133" s="66"/>
      <c r="E133" s="66"/>
      <c r="F133" s="66"/>
      <c r="G133" s="66"/>
      <c r="H133" s="66"/>
      <c r="I133" s="66"/>
      <c r="J133" s="66"/>
      <c r="K133" s="66"/>
      <c r="L133" s="66"/>
      <c r="M133" s="66"/>
      <c r="N133" s="66"/>
      <c r="O133" s="66"/>
      <c r="Z133" s="1"/>
    </row>
    <row r="134" spans="1:31" s="4" customFormat="1" ht="6" customHeight="1" x14ac:dyDescent="0.25">
      <c r="Z134" s="1"/>
    </row>
    <row r="135" spans="1:31" s="4" customFormat="1" ht="30" x14ac:dyDescent="0.25">
      <c r="C135" s="186">
        <v>2020</v>
      </c>
      <c r="D135" s="186">
        <v>2021</v>
      </c>
      <c r="E135" s="186">
        <v>2022</v>
      </c>
      <c r="F135" s="186">
        <v>2023</v>
      </c>
      <c r="G135" s="174" t="str">
        <f>CONCATENATE("var. ",RIGHT(F135,2),"/",RIGHT(E135,2))</f>
        <v>var. 23/22</v>
      </c>
      <c r="H135" s="174" t="str">
        <f>CONCATENATE("dif. ",RIGHT(F135,2),"/",RIGHT(E135,2))</f>
        <v>dif. 23/22</v>
      </c>
      <c r="I135" s="174" t="str">
        <f>CONCATENATE("%/s total Península ",RIGHT(F135,4))</f>
        <v>%/s total Península 2023</v>
      </c>
      <c r="J135" s="186">
        <v>2024</v>
      </c>
      <c r="K135" s="174" t="str">
        <f>CONCATENATE("%/s total España ",RIGHT(J135,4))</f>
        <v>%/s total España 2024</v>
      </c>
      <c r="L135" s="174" t="str">
        <f>CONCATENATE("var. ",RIGHT(J135,2),"/",RIGHT(F135,2))</f>
        <v>var. 24/23</v>
      </c>
      <c r="M135" s="174" t="str">
        <f>CONCATENATE("dif. ",RIGHT(J135,2),"/",RIGHT(F135,2))</f>
        <v>dif. 24/23</v>
      </c>
      <c r="N135" s="174" t="str">
        <f>CONCATENATE("var. ",RIGHT(J135,2),"/",RIGHT(C135,2))</f>
        <v>var. 24/20</v>
      </c>
      <c r="O135" s="174" t="str">
        <f>CONCATENATE("dif. ",RIGHT(J135,2),"/",RIGHT(C135,2))</f>
        <v>dif. 24/20</v>
      </c>
      <c r="Z135" s="1"/>
    </row>
    <row r="136" spans="1:31" ht="18.75" x14ac:dyDescent="0.3">
      <c r="A136" s="4"/>
      <c r="B136" s="235" t="s">
        <v>202</v>
      </c>
      <c r="C136" s="239">
        <v>208389</v>
      </c>
      <c r="D136" s="239">
        <v>416048</v>
      </c>
      <c r="E136" s="239">
        <v>423208</v>
      </c>
      <c r="F136" s="239">
        <v>428791</v>
      </c>
      <c r="G136" s="240">
        <f>F136/E136-1</f>
        <v>1.3192094667397569E-2</v>
      </c>
      <c r="H136" s="239">
        <f>F136-E136</f>
        <v>5583</v>
      </c>
      <c r="I136" s="240">
        <f>F136/F$136</f>
        <v>1</v>
      </c>
      <c r="J136" s="239">
        <v>421973</v>
      </c>
      <c r="K136" s="240">
        <f>H136/H$136</f>
        <v>1</v>
      </c>
      <c r="L136" s="240">
        <f>J136/F136-1</f>
        <v>-1.5900520300099585E-2</v>
      </c>
      <c r="M136" s="239">
        <f>J136-F136</f>
        <v>-6818</v>
      </c>
      <c r="N136" s="240">
        <f>J136/C136-1</f>
        <v>1.0249293388806513</v>
      </c>
      <c r="O136" s="239">
        <f>J136-C136</f>
        <v>213584</v>
      </c>
      <c r="Q136" s="29"/>
      <c r="R136" s="81"/>
      <c r="Z136" s="1" t="s">
        <v>175</v>
      </c>
      <c r="AE136"/>
    </row>
    <row r="137" spans="1:31" s="4" customFormat="1" x14ac:dyDescent="0.25">
      <c r="B137" s="246" t="s">
        <v>46</v>
      </c>
      <c r="C137" s="263">
        <v>68476</v>
      </c>
      <c r="D137" s="263">
        <v>126666</v>
      </c>
      <c r="E137" s="263">
        <v>86811</v>
      </c>
      <c r="F137" s="263">
        <v>75374</v>
      </c>
      <c r="G137" s="269">
        <f t="shared" ref="G137:G146" si="12">F137/E137-1</f>
        <v>-0.13174597689232936</v>
      </c>
      <c r="H137" s="276">
        <f t="shared" ref="H137:H146" si="13">F137-E137</f>
        <v>-11437</v>
      </c>
      <c r="I137" s="271">
        <f t="shared" ref="I137:K146" si="14">F137/F$136</f>
        <v>0.17578260737748694</v>
      </c>
      <c r="J137" s="263">
        <v>60650</v>
      </c>
      <c r="K137" s="271">
        <f t="shared" si="14"/>
        <v>-2.0485402113559017</v>
      </c>
      <c r="L137" s="271">
        <f t="shared" ref="L137:L146" si="15">J137/F137-1</f>
        <v>-0.19534587523549229</v>
      </c>
      <c r="M137" s="270">
        <f t="shared" ref="M137:M146" si="16">J137-F137</f>
        <v>-14724</v>
      </c>
      <c r="N137" s="269">
        <f t="shared" ref="N137:N146" si="17">J137/C137-1</f>
        <v>-0.11428821776972953</v>
      </c>
      <c r="O137" s="263">
        <f t="shared" ref="O137:O146" si="18">J137-C137</f>
        <v>-7826</v>
      </c>
      <c r="Q137" s="29"/>
      <c r="R137" s="81"/>
      <c r="Z137" s="1" t="s">
        <v>177</v>
      </c>
    </row>
    <row r="138" spans="1:31" s="4" customFormat="1" x14ac:dyDescent="0.25">
      <c r="B138" s="246" t="s">
        <v>47</v>
      </c>
      <c r="C138" s="263">
        <v>24912</v>
      </c>
      <c r="D138" s="263">
        <v>43482</v>
      </c>
      <c r="E138" s="263">
        <v>48094</v>
      </c>
      <c r="F138" s="263">
        <v>51902</v>
      </c>
      <c r="G138" s="269">
        <f t="shared" si="12"/>
        <v>7.9178275876408799E-2</v>
      </c>
      <c r="H138" s="276">
        <f t="shared" si="13"/>
        <v>3808</v>
      </c>
      <c r="I138" s="271">
        <f t="shared" si="14"/>
        <v>0.12104265248104555</v>
      </c>
      <c r="J138" s="263">
        <v>50245</v>
      </c>
      <c r="K138" s="271">
        <f t="shared" si="14"/>
        <v>0.68207057137739568</v>
      </c>
      <c r="L138" s="271">
        <f t="shared" si="15"/>
        <v>-3.1925552001849655E-2</v>
      </c>
      <c r="M138" s="270">
        <f t="shared" si="16"/>
        <v>-1657</v>
      </c>
      <c r="N138" s="269">
        <f t="shared" si="17"/>
        <v>1.0168994861913938</v>
      </c>
      <c r="O138" s="263">
        <f t="shared" si="18"/>
        <v>25333</v>
      </c>
      <c r="Q138" s="29"/>
      <c r="R138" s="81"/>
      <c r="Z138" s="1"/>
    </row>
    <row r="139" spans="1:31" s="4" customFormat="1" x14ac:dyDescent="0.25">
      <c r="B139" s="246" t="s">
        <v>48</v>
      </c>
      <c r="C139" s="263">
        <v>1658</v>
      </c>
      <c r="D139" s="263">
        <v>2415</v>
      </c>
      <c r="E139" s="263">
        <v>3515</v>
      </c>
      <c r="F139" s="263">
        <v>14811</v>
      </c>
      <c r="G139" s="269">
        <f t="shared" si="12"/>
        <v>3.2136557610241825</v>
      </c>
      <c r="H139" s="277">
        <f t="shared" si="13"/>
        <v>11296</v>
      </c>
      <c r="I139" s="275">
        <f t="shared" si="14"/>
        <v>3.4541303338922691E-2</v>
      </c>
      <c r="J139" s="263">
        <v>7251</v>
      </c>
      <c r="K139" s="275">
        <f t="shared" si="14"/>
        <v>2.0232849722371484</v>
      </c>
      <c r="L139" s="271">
        <f t="shared" si="15"/>
        <v>-0.51043143609479436</v>
      </c>
      <c r="M139" s="270">
        <f t="shared" si="16"/>
        <v>-7560</v>
      </c>
      <c r="N139" s="269">
        <f t="shared" si="17"/>
        <v>3.3733413751507841</v>
      </c>
      <c r="O139" s="263">
        <f t="shared" si="18"/>
        <v>5593</v>
      </c>
      <c r="Q139" s="29"/>
      <c r="R139" s="81"/>
      <c r="Z139" s="1"/>
    </row>
    <row r="140" spans="1:31" s="4" customFormat="1" x14ac:dyDescent="0.25">
      <c r="B140" s="246" t="s">
        <v>50</v>
      </c>
      <c r="C140" s="263">
        <v>28320</v>
      </c>
      <c r="D140" s="263">
        <v>66989</v>
      </c>
      <c r="E140" s="263">
        <v>97391</v>
      </c>
      <c r="F140" s="263">
        <v>92103</v>
      </c>
      <c r="G140" s="269">
        <f t="shared" si="12"/>
        <v>-5.4296598248298134E-2</v>
      </c>
      <c r="H140" s="276">
        <f t="shared" si="13"/>
        <v>-5288</v>
      </c>
      <c r="I140" s="271">
        <f t="shared" si="14"/>
        <v>0.21479695236140683</v>
      </c>
      <c r="J140" s="263">
        <v>106284</v>
      </c>
      <c r="K140" s="271">
        <f t="shared" si="14"/>
        <v>-0.94716102453877848</v>
      </c>
      <c r="L140" s="271">
        <f t="shared" si="15"/>
        <v>0.15396892609361257</v>
      </c>
      <c r="M140" s="270">
        <f t="shared" si="16"/>
        <v>14181</v>
      </c>
      <c r="N140" s="269">
        <f t="shared" si="17"/>
        <v>2.7529661016949154</v>
      </c>
      <c r="O140" s="263">
        <f t="shared" si="18"/>
        <v>77964</v>
      </c>
      <c r="Q140" s="29"/>
      <c r="R140" s="81"/>
      <c r="Z140" s="1"/>
    </row>
    <row r="141" spans="1:31" s="4" customFormat="1" x14ac:dyDescent="0.25">
      <c r="B141" s="246" t="s">
        <v>52</v>
      </c>
      <c r="C141" s="263">
        <v>4963</v>
      </c>
      <c r="D141" s="263">
        <v>24120</v>
      </c>
      <c r="E141" s="263">
        <v>16359</v>
      </c>
      <c r="F141" s="263">
        <v>19520</v>
      </c>
      <c r="G141" s="269">
        <f t="shared" si="12"/>
        <v>0.19322696986368371</v>
      </c>
      <c r="H141" s="277">
        <f t="shared" si="13"/>
        <v>3161</v>
      </c>
      <c r="I141" s="275">
        <f t="shared" si="14"/>
        <v>4.5523343540326174E-2</v>
      </c>
      <c r="J141" s="263">
        <v>16099</v>
      </c>
      <c r="K141" s="275">
        <f t="shared" si="14"/>
        <v>0.56618305570481819</v>
      </c>
      <c r="L141" s="271">
        <f t="shared" si="15"/>
        <v>-0.17525614754098362</v>
      </c>
      <c r="M141" s="270">
        <f t="shared" si="16"/>
        <v>-3421</v>
      </c>
      <c r="N141" s="269">
        <f t="shared" si="17"/>
        <v>2.243804150715293</v>
      </c>
      <c r="O141" s="263">
        <f t="shared" si="18"/>
        <v>11136</v>
      </c>
      <c r="Q141" s="29"/>
      <c r="R141" s="81"/>
      <c r="Z141" s="1"/>
    </row>
    <row r="142" spans="1:31" s="4" customFormat="1" x14ac:dyDescent="0.25">
      <c r="B142" s="246" t="s">
        <v>53</v>
      </c>
      <c r="C142" s="263">
        <v>27791</v>
      </c>
      <c r="D142" s="263">
        <v>53247</v>
      </c>
      <c r="E142" s="263">
        <v>69865</v>
      </c>
      <c r="F142" s="263">
        <v>66121</v>
      </c>
      <c r="G142" s="269">
        <f t="shared" si="12"/>
        <v>-5.3589064624633198E-2</v>
      </c>
      <c r="H142" s="276">
        <f t="shared" si="13"/>
        <v>-3744</v>
      </c>
      <c r="I142" s="271">
        <f t="shared" si="14"/>
        <v>0.1542033298273518</v>
      </c>
      <c r="J142" s="263">
        <v>75793</v>
      </c>
      <c r="K142" s="271">
        <f t="shared" si="14"/>
        <v>-0.67060720042987643</v>
      </c>
      <c r="L142" s="271">
        <f t="shared" si="15"/>
        <v>0.14627727953297742</v>
      </c>
      <c r="M142" s="270">
        <f t="shared" si="16"/>
        <v>9672</v>
      </c>
      <c r="N142" s="269">
        <f t="shared" si="17"/>
        <v>1.7272498290813574</v>
      </c>
      <c r="O142" s="263">
        <f t="shared" si="18"/>
        <v>48002</v>
      </c>
      <c r="Q142" s="29"/>
      <c r="R142" s="81"/>
      <c r="Z142" s="1"/>
    </row>
    <row r="143" spans="1:31" s="4" customFormat="1" x14ac:dyDescent="0.25">
      <c r="B143" s="246" t="s">
        <v>51</v>
      </c>
      <c r="C143" s="263">
        <v>8684</v>
      </c>
      <c r="D143" s="263">
        <v>11001</v>
      </c>
      <c r="E143" s="263">
        <v>16289</v>
      </c>
      <c r="F143" s="263">
        <v>12024</v>
      </c>
      <c r="G143" s="269">
        <f t="shared" si="12"/>
        <v>-0.261833138928111</v>
      </c>
      <c r="H143" s="277">
        <f t="shared" si="13"/>
        <v>-4265</v>
      </c>
      <c r="I143" s="275">
        <f t="shared" si="14"/>
        <v>2.8041633336520589E-2</v>
      </c>
      <c r="J143" s="263">
        <v>11877</v>
      </c>
      <c r="K143" s="275">
        <f t="shared" si="14"/>
        <v>-0.76392620454952531</v>
      </c>
      <c r="L143" s="271">
        <f t="shared" si="15"/>
        <v>-1.2225548902195627E-2</v>
      </c>
      <c r="M143" s="270">
        <f t="shared" si="16"/>
        <v>-147</v>
      </c>
      <c r="N143" s="269">
        <f t="shared" si="17"/>
        <v>0.36768770152003682</v>
      </c>
      <c r="O143" s="263">
        <f t="shared" si="18"/>
        <v>3193</v>
      </c>
      <c r="Q143" s="29"/>
      <c r="R143" s="81"/>
      <c r="Z143" s="1"/>
    </row>
    <row r="144" spans="1:31" s="4" customFormat="1" x14ac:dyDescent="0.25">
      <c r="B144" s="246" t="s">
        <v>54</v>
      </c>
      <c r="C144" s="263">
        <v>20058</v>
      </c>
      <c r="D144" s="263">
        <v>34195</v>
      </c>
      <c r="E144" s="263">
        <v>19943</v>
      </c>
      <c r="F144" s="263">
        <v>20738</v>
      </c>
      <c r="G144" s="269">
        <f t="shared" si="12"/>
        <v>3.9863611292182632E-2</v>
      </c>
      <c r="H144" s="276">
        <f t="shared" si="13"/>
        <v>795</v>
      </c>
      <c r="I144" s="271">
        <f t="shared" si="14"/>
        <v>4.8363888234594477E-2</v>
      </c>
      <c r="J144" s="263">
        <v>18376</v>
      </c>
      <c r="K144" s="271">
        <f t="shared" si="14"/>
        <v>0.14239656098871575</v>
      </c>
      <c r="L144" s="271">
        <f t="shared" si="15"/>
        <v>-0.1138971935577201</v>
      </c>
      <c r="M144" s="270">
        <f t="shared" si="16"/>
        <v>-2362</v>
      </c>
      <c r="N144" s="269">
        <f t="shared" si="17"/>
        <v>-8.3856815235816118E-2</v>
      </c>
      <c r="O144" s="263">
        <f t="shared" si="18"/>
        <v>-1682</v>
      </c>
      <c r="Q144" s="29"/>
      <c r="R144" s="81"/>
      <c r="Z144" s="1"/>
    </row>
    <row r="145" spans="2:31" s="4" customFormat="1" x14ac:dyDescent="0.25">
      <c r="B145" s="246" t="s">
        <v>49</v>
      </c>
      <c r="C145" s="263">
        <v>8930</v>
      </c>
      <c r="D145" s="263">
        <v>21567</v>
      </c>
      <c r="E145" s="263">
        <v>23338</v>
      </c>
      <c r="F145" s="263">
        <v>31999</v>
      </c>
      <c r="G145" s="269">
        <f t="shared" si="12"/>
        <v>0.37111149198731685</v>
      </c>
      <c r="H145" s="277">
        <f t="shared" si="13"/>
        <v>8661</v>
      </c>
      <c r="I145" s="275">
        <f t="shared" si="14"/>
        <v>7.4626099894820552E-2</v>
      </c>
      <c r="J145" s="263">
        <v>37562</v>
      </c>
      <c r="K145" s="275">
        <f t="shared" si="14"/>
        <v>1.5513164965072541</v>
      </c>
      <c r="L145" s="271">
        <f t="shared" si="15"/>
        <v>0.17384918278696215</v>
      </c>
      <c r="M145" s="270">
        <f t="shared" si="16"/>
        <v>5563</v>
      </c>
      <c r="N145" s="269">
        <f t="shared" si="17"/>
        <v>3.2062709966405372</v>
      </c>
      <c r="O145" s="263">
        <f t="shared" si="18"/>
        <v>28632</v>
      </c>
      <c r="Q145" s="29"/>
      <c r="R145" s="81"/>
      <c r="Z145" s="1"/>
    </row>
    <row r="146" spans="2:31" s="4" customFormat="1" x14ac:dyDescent="0.25">
      <c r="B146" s="246" t="s">
        <v>203</v>
      </c>
      <c r="C146" s="263">
        <f>C136-SUM(C137:C145)</f>
        <v>14597</v>
      </c>
      <c r="D146" s="263">
        <f>D136-SUM(D137:D145)</f>
        <v>32366</v>
      </c>
      <c r="E146" s="263">
        <f>E136-SUM(E137:E145)</f>
        <v>41603</v>
      </c>
      <c r="F146" s="263">
        <f>F136-SUM(F137:F145)</f>
        <v>44199</v>
      </c>
      <c r="G146" s="269">
        <f t="shared" si="12"/>
        <v>6.2399346200995076E-2</v>
      </c>
      <c r="H146" s="276">
        <f t="shared" si="13"/>
        <v>2596</v>
      </c>
      <c r="I146" s="271">
        <f t="shared" si="14"/>
        <v>0.10307818960752441</v>
      </c>
      <c r="J146" s="263">
        <f>J136-SUM(J137:J145)</f>
        <v>37836</v>
      </c>
      <c r="K146" s="271">
        <f t="shared" si="14"/>
        <v>0.46498298405874977</v>
      </c>
      <c r="L146" s="271">
        <f t="shared" si="15"/>
        <v>-0.14396253308898388</v>
      </c>
      <c r="M146" s="270">
        <f t="shared" si="16"/>
        <v>-6363</v>
      </c>
      <c r="N146" s="269">
        <f t="shared" si="17"/>
        <v>1.592039460163047</v>
      </c>
      <c r="O146" s="263">
        <f t="shared" si="18"/>
        <v>23239</v>
      </c>
      <c r="Q146" s="29"/>
      <c r="R146" s="81"/>
      <c r="Z146" s="1"/>
    </row>
    <row r="147" spans="2:31" s="4" customFormat="1" ht="7.5" customHeight="1" x14ac:dyDescent="0.25">
      <c r="B147" s="247"/>
      <c r="C147" s="247"/>
      <c r="D147" s="247"/>
      <c r="E147" s="247"/>
      <c r="F147" s="247"/>
      <c r="G147" s="247"/>
      <c r="H147" s="247"/>
      <c r="I147" s="247"/>
      <c r="J147" s="247"/>
      <c r="K147" s="247"/>
      <c r="L147" s="247"/>
      <c r="M147" s="247"/>
      <c r="N147" s="247"/>
      <c r="O147" s="247"/>
      <c r="Z147" s="1" t="s">
        <v>182</v>
      </c>
    </row>
    <row r="148" spans="2:31" s="4" customFormat="1" x14ac:dyDescent="0.25">
      <c r="B148" s="172" t="s">
        <v>183</v>
      </c>
      <c r="C148" s="172"/>
      <c r="D148" s="172"/>
      <c r="E148" s="172"/>
      <c r="F148" s="172"/>
      <c r="G148" s="172"/>
      <c r="H148" s="172"/>
      <c r="I148" s="172"/>
      <c r="J148" s="172"/>
      <c r="K148" s="172"/>
      <c r="L148" s="172"/>
      <c r="M148" s="172"/>
      <c r="N148" s="172"/>
      <c r="O148" s="172"/>
      <c r="Z148" s="1" t="s">
        <v>184</v>
      </c>
    </row>
    <row r="149" spans="2:31" x14ac:dyDescent="0.25">
      <c r="Z149" s="1"/>
      <c r="AE149"/>
    </row>
  </sheetData>
  <mergeCells count="2">
    <mergeCell ref="B42:S42"/>
    <mergeCell ref="B52:S52"/>
  </mergeCells>
  <pageMargins left="0.70866141732283472" right="0.70866141732283472" top="0.74803149606299213" bottom="0.74803149606299213" header="0.31496062992125984" footer="0.31496062992125984"/>
  <pageSetup paperSize="9" orientation="portrait" r:id="rId1"/>
  <headerFooter>
    <oddFooter>&amp;L&amp;G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A3B9A-62C6-4224-A652-5289C8D7BA70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8" t="s">
        <v>309</v>
      </c>
      <c r="C4" s="278"/>
      <c r="D4" s="278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3" t="s">
        <v>206</v>
      </c>
      <c r="D6" s="304"/>
    </row>
    <row r="7" spans="1:5" ht="16.5" thickTop="1" thickBot="1" x14ac:dyDescent="0.3">
      <c r="B7" s="87"/>
      <c r="C7" s="115" t="s">
        <v>140</v>
      </c>
      <c r="D7" s="116" t="s">
        <v>141</v>
      </c>
    </row>
    <row r="8" spans="1:5" x14ac:dyDescent="0.25">
      <c r="A8" s="1" t="s">
        <v>72</v>
      </c>
      <c r="B8" s="118">
        <v>2024</v>
      </c>
      <c r="C8" s="119">
        <v>156566</v>
      </c>
      <c r="D8" s="120">
        <f t="shared" ref="D8:D21" si="0">C8/C9-1</f>
        <v>6.9220788089872309E-2</v>
      </c>
    </row>
    <row r="9" spans="1:5" x14ac:dyDescent="0.25">
      <c r="A9" s="1"/>
      <c r="B9" s="118">
        <v>2023</v>
      </c>
      <c r="C9" s="119">
        <v>146430</v>
      </c>
      <c r="D9" s="120">
        <f t="shared" si="0"/>
        <v>8.5583381522174262E-2</v>
      </c>
    </row>
    <row r="10" spans="1:5" x14ac:dyDescent="0.25">
      <c r="A10" s="1"/>
      <c r="B10" s="118">
        <v>2022</v>
      </c>
      <c r="C10" s="119">
        <v>134886</v>
      </c>
      <c r="D10" s="120">
        <f t="shared" si="0"/>
        <v>0.29007144428397913</v>
      </c>
    </row>
    <row r="11" spans="1:5" x14ac:dyDescent="0.25">
      <c r="A11" s="1"/>
      <c r="B11" s="118">
        <v>2021</v>
      </c>
      <c r="C11" s="119">
        <v>104557</v>
      </c>
      <c r="D11" s="120">
        <f t="shared" si="0"/>
        <v>0.69815335141543899</v>
      </c>
    </row>
    <row r="12" spans="1:5" x14ac:dyDescent="0.25">
      <c r="A12" s="1" t="s">
        <v>74</v>
      </c>
      <c r="B12" s="118">
        <v>2020</v>
      </c>
      <c r="C12" s="119">
        <v>61571</v>
      </c>
      <c r="D12" s="120">
        <f t="shared" si="0"/>
        <v>-0.48751477418388245</v>
      </c>
    </row>
    <row r="13" spans="1:5" x14ac:dyDescent="0.25">
      <c r="A13" s="1" t="s">
        <v>76</v>
      </c>
      <c r="B13" s="118">
        <v>2019</v>
      </c>
      <c r="C13" s="119">
        <v>120142</v>
      </c>
      <c r="D13" s="120">
        <f t="shared" si="0"/>
        <v>-0.11034263160622915</v>
      </c>
    </row>
    <row r="14" spans="1:5" x14ac:dyDescent="0.25">
      <c r="A14" s="1" t="s">
        <v>78</v>
      </c>
      <c r="B14" s="118">
        <v>2018</v>
      </c>
      <c r="C14" s="119">
        <v>135043</v>
      </c>
      <c r="D14" s="120">
        <f t="shared" si="0"/>
        <v>-0.15583879779712828</v>
      </c>
    </row>
    <row r="15" spans="1:5" x14ac:dyDescent="0.25">
      <c r="A15" s="1" t="s">
        <v>80</v>
      </c>
      <c r="B15" s="118">
        <v>2017</v>
      </c>
      <c r="C15" s="119">
        <v>159973</v>
      </c>
      <c r="D15" s="120">
        <f t="shared" si="0"/>
        <v>-2.5837920787255775E-2</v>
      </c>
    </row>
    <row r="16" spans="1:5" x14ac:dyDescent="0.25">
      <c r="A16" s="1" t="s">
        <v>82</v>
      </c>
      <c r="B16" s="118">
        <v>2016</v>
      </c>
      <c r="C16" s="119">
        <v>164216</v>
      </c>
      <c r="D16" s="120">
        <f>C16/C17-1</f>
        <v>6.7557728312876986E-2</v>
      </c>
    </row>
    <row r="17" spans="1:4" x14ac:dyDescent="0.25">
      <c r="A17" s="1" t="s">
        <v>84</v>
      </c>
      <c r="B17" s="118">
        <v>2015</v>
      </c>
      <c r="C17" s="119">
        <v>153824</v>
      </c>
      <c r="D17" s="120">
        <f t="shared" si="0"/>
        <v>0.17402288147882428</v>
      </c>
    </row>
    <row r="18" spans="1:4" x14ac:dyDescent="0.25">
      <c r="A18" s="1" t="s">
        <v>86</v>
      </c>
      <c r="B18" s="118">
        <v>2014</v>
      </c>
      <c r="C18" s="119">
        <v>131023</v>
      </c>
      <c r="D18" s="120">
        <f t="shared" si="0"/>
        <v>0.10748307369809051</v>
      </c>
    </row>
    <row r="19" spans="1:4" x14ac:dyDescent="0.25">
      <c r="A19" s="1" t="s">
        <v>88</v>
      </c>
      <c r="B19" s="118">
        <v>2013</v>
      </c>
      <c r="C19" s="119">
        <v>118307</v>
      </c>
      <c r="D19" s="120">
        <f t="shared" si="0"/>
        <v>-3.5794899437388006E-3</v>
      </c>
    </row>
    <row r="20" spans="1:4" x14ac:dyDescent="0.25">
      <c r="A20" s="1" t="s">
        <v>90</v>
      </c>
      <c r="B20" s="118">
        <v>2012</v>
      </c>
      <c r="C20" s="119">
        <v>118732</v>
      </c>
      <c r="D20" s="120">
        <f>C20/C21-1</f>
        <v>-7.0066887012641188E-2</v>
      </c>
    </row>
    <row r="21" spans="1:4" x14ac:dyDescent="0.25">
      <c r="A21" s="1" t="s">
        <v>92</v>
      </c>
      <c r="B21" s="118">
        <v>2011</v>
      </c>
      <c r="C21" s="119">
        <v>127678</v>
      </c>
      <c r="D21" s="120">
        <f t="shared" si="0"/>
        <v>-5.2025095593421722E-2</v>
      </c>
    </row>
    <row r="22" spans="1:4" x14ac:dyDescent="0.25">
      <c r="A22" s="1" t="s">
        <v>94</v>
      </c>
      <c r="B22" s="118">
        <v>2010</v>
      </c>
      <c r="C22" s="119">
        <v>134685</v>
      </c>
      <c r="D22" s="120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FD6281-6D0C-46AA-ACDD-4AC2B7327126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8" t="s">
        <v>310</v>
      </c>
      <c r="C4" s="278"/>
      <c r="D4" s="278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3" t="s">
        <v>207</v>
      </c>
      <c r="D6" s="304"/>
    </row>
    <row r="7" spans="1:5" ht="16.5" thickTop="1" thickBot="1" x14ac:dyDescent="0.3">
      <c r="B7" s="87"/>
      <c r="C7" s="115" t="s">
        <v>140</v>
      </c>
      <c r="D7" s="116" t="s">
        <v>141</v>
      </c>
    </row>
    <row r="8" spans="1:5" x14ac:dyDescent="0.25">
      <c r="A8" s="1" t="s">
        <v>72</v>
      </c>
      <c r="B8" s="118">
        <v>2024</v>
      </c>
      <c r="C8" s="119">
        <v>80773</v>
      </c>
      <c r="D8" s="120">
        <f t="shared" ref="D8:D21" si="0">C8/C9-1</f>
        <v>5.7776836967213807E-3</v>
      </c>
    </row>
    <row r="9" spans="1:5" x14ac:dyDescent="0.25">
      <c r="A9" s="1"/>
      <c r="B9" s="118">
        <v>2023</v>
      </c>
      <c r="C9" s="119">
        <v>80309</v>
      </c>
      <c r="D9" s="120">
        <f t="shared" si="0"/>
        <v>0.23512403684963323</v>
      </c>
    </row>
    <row r="10" spans="1:5" x14ac:dyDescent="0.25">
      <c r="A10" s="1"/>
      <c r="B10" s="118">
        <v>2022</v>
      </c>
      <c r="C10" s="119">
        <v>65021</v>
      </c>
      <c r="D10" s="120">
        <f t="shared" si="0"/>
        <v>0.26721886571818354</v>
      </c>
    </row>
    <row r="11" spans="1:5" x14ac:dyDescent="0.25">
      <c r="A11" s="1"/>
      <c r="B11" s="118">
        <v>2021</v>
      </c>
      <c r="C11" s="119">
        <v>51310</v>
      </c>
      <c r="D11" s="120">
        <f t="shared" si="0"/>
        <v>0.51894612196566015</v>
      </c>
    </row>
    <row r="12" spans="1:5" x14ac:dyDescent="0.25">
      <c r="A12" s="1" t="s">
        <v>74</v>
      </c>
      <c r="B12" s="118">
        <v>2020</v>
      </c>
      <c r="C12" s="119">
        <v>33780</v>
      </c>
      <c r="D12" s="120">
        <f t="shared" si="0"/>
        <v>-0.42809738258896823</v>
      </c>
    </row>
    <row r="13" spans="1:5" x14ac:dyDescent="0.25">
      <c r="A13" s="1" t="s">
        <v>76</v>
      </c>
      <c r="B13" s="118">
        <v>2019</v>
      </c>
      <c r="C13" s="119">
        <v>59066</v>
      </c>
      <c r="D13" s="120">
        <f t="shared" si="0"/>
        <v>-1.2307280692953393E-2</v>
      </c>
    </row>
    <row r="14" spans="1:5" x14ac:dyDescent="0.25">
      <c r="A14" s="1" t="s">
        <v>78</v>
      </c>
      <c r="B14" s="118">
        <v>2018</v>
      </c>
      <c r="C14" s="119">
        <v>59802</v>
      </c>
      <c r="D14" s="120">
        <f t="shared" si="0"/>
        <v>-9.2919548598471069E-2</v>
      </c>
    </row>
    <row r="15" spans="1:5" x14ac:dyDescent="0.25">
      <c r="A15" s="1" t="s">
        <v>80</v>
      </c>
      <c r="B15" s="118">
        <v>2017</v>
      </c>
      <c r="C15" s="119">
        <v>65928</v>
      </c>
      <c r="D15" s="120">
        <f>C15/C16-1</f>
        <v>-6.8168647792964054E-2</v>
      </c>
    </row>
    <row r="16" spans="1:5" x14ac:dyDescent="0.25">
      <c r="A16" s="1" t="s">
        <v>82</v>
      </c>
      <c r="B16" s="118">
        <v>2016</v>
      </c>
      <c r="C16" s="119">
        <v>70751</v>
      </c>
      <c r="D16" s="120">
        <f>C16/C17-1</f>
        <v>0.2092741039533732</v>
      </c>
    </row>
    <row r="17" spans="1:4" x14ac:dyDescent="0.25">
      <c r="A17" s="1" t="s">
        <v>84</v>
      </c>
      <c r="B17" s="118">
        <v>2015</v>
      </c>
      <c r="C17" s="119">
        <v>58507</v>
      </c>
      <c r="D17" s="120">
        <f t="shared" si="0"/>
        <v>0.30616390953943706</v>
      </c>
    </row>
    <row r="18" spans="1:4" x14ac:dyDescent="0.25">
      <c r="A18" s="1" t="s">
        <v>86</v>
      </c>
      <c r="B18" s="118">
        <v>2014</v>
      </c>
      <c r="C18" s="119">
        <v>44793</v>
      </c>
      <c r="D18" s="120">
        <f t="shared" si="0"/>
        <v>-0.16617647058823526</v>
      </c>
    </row>
    <row r="19" spans="1:4" x14ac:dyDescent="0.25">
      <c r="A19" s="1" t="s">
        <v>88</v>
      </c>
      <c r="B19" s="118">
        <v>2013</v>
      </c>
      <c r="C19" s="119">
        <v>53720</v>
      </c>
      <c r="D19" s="120">
        <f t="shared" si="0"/>
        <v>-0.10682517249979218</v>
      </c>
    </row>
    <row r="20" spans="1:4" x14ac:dyDescent="0.25">
      <c r="A20" s="1" t="s">
        <v>90</v>
      </c>
      <c r="B20" s="118">
        <v>2012</v>
      </c>
      <c r="C20" s="119">
        <v>60145</v>
      </c>
      <c r="D20" s="120">
        <f>C20/C21-1</f>
        <v>-8.7010641043156145E-2</v>
      </c>
    </row>
    <row r="21" spans="1:4" x14ac:dyDescent="0.25">
      <c r="A21" s="1" t="s">
        <v>92</v>
      </c>
      <c r="B21" s="118">
        <v>2011</v>
      </c>
      <c r="C21" s="119">
        <v>65877</v>
      </c>
      <c r="D21" s="120">
        <f t="shared" si="0"/>
        <v>-0.1162550474222932</v>
      </c>
    </row>
    <row r="22" spans="1:4" x14ac:dyDescent="0.25">
      <c r="A22" s="1" t="s">
        <v>94</v>
      </c>
      <c r="B22" s="118">
        <v>2010</v>
      </c>
      <c r="C22" s="119">
        <v>74543</v>
      </c>
      <c r="D22" s="120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D29B92-91EB-4AA6-84C6-BE06CC2E1918}">
  <sheetPr>
    <tabColor theme="4" tint="0.39997558519241921"/>
  </sheetPr>
  <dimension ref="A4:E24"/>
  <sheetViews>
    <sheetView showGridLines="0" zoomScaleNormal="100" workbookViewId="0"/>
  </sheetViews>
  <sheetFormatPr baseColWidth="10" defaultColWidth="11.42578125" defaultRowHeight="15" x14ac:dyDescent="0.25"/>
  <cols>
    <col min="1" max="2" width="15.28515625" customWidth="1"/>
    <col min="3" max="3" width="30.140625" customWidth="1"/>
    <col min="4" max="4" width="21.85546875" customWidth="1"/>
  </cols>
  <sheetData>
    <row r="4" spans="1:5" ht="63" customHeight="1" thickBot="1" x14ac:dyDescent="0.3">
      <c r="B4" s="278" t="s">
        <v>311</v>
      </c>
      <c r="C4" s="278"/>
      <c r="D4" s="278"/>
      <c r="E4" s="1" t="s">
        <v>68</v>
      </c>
    </row>
    <row r="5" spans="1:5" ht="10.5" customHeight="1" thickBot="1" x14ac:dyDescent="0.3">
      <c r="B5" s="108"/>
      <c r="C5" s="109"/>
      <c r="D5" s="108"/>
      <c r="E5" s="1" t="s">
        <v>69</v>
      </c>
    </row>
    <row r="6" spans="1:5" ht="22.5" thickTop="1" thickBot="1" x14ac:dyDescent="0.3">
      <c r="B6" s="110" t="s">
        <v>32</v>
      </c>
      <c r="C6" s="303" t="s">
        <v>208</v>
      </c>
      <c r="D6" s="304"/>
    </row>
    <row r="7" spans="1:5" ht="16.5" thickTop="1" thickBot="1" x14ac:dyDescent="0.3">
      <c r="B7" s="87"/>
      <c r="C7" s="115" t="s">
        <v>140</v>
      </c>
      <c r="D7" s="116" t="s">
        <v>141</v>
      </c>
    </row>
    <row r="8" spans="1:5" x14ac:dyDescent="0.25">
      <c r="A8" s="1" t="s">
        <v>72</v>
      </c>
      <c r="B8" s="118">
        <v>2024</v>
      </c>
      <c r="C8" s="119">
        <v>75793</v>
      </c>
      <c r="D8" s="120">
        <f t="shared" ref="D8:D21" si="0">C8/C9-1</f>
        <v>0.14627727953297742</v>
      </c>
    </row>
    <row r="9" spans="1:5" x14ac:dyDescent="0.25">
      <c r="A9" s="1"/>
      <c r="B9" s="118">
        <v>2023</v>
      </c>
      <c r="C9" s="119">
        <v>66121</v>
      </c>
      <c r="D9" s="120">
        <f t="shared" si="0"/>
        <v>-5.3589064624633198E-2</v>
      </c>
    </row>
    <row r="10" spans="1:5" x14ac:dyDescent="0.25">
      <c r="A10" s="1"/>
      <c r="B10" s="118">
        <v>2022</v>
      </c>
      <c r="C10" s="119">
        <v>69865</v>
      </c>
      <c r="D10" s="120">
        <f t="shared" si="0"/>
        <v>0.31209270005821921</v>
      </c>
    </row>
    <row r="11" spans="1:5" x14ac:dyDescent="0.25">
      <c r="A11" s="1"/>
      <c r="B11" s="118">
        <v>2021</v>
      </c>
      <c r="C11" s="119">
        <v>53247</v>
      </c>
      <c r="D11" s="120">
        <f t="shared" si="0"/>
        <v>0.91597999352308301</v>
      </c>
    </row>
    <row r="12" spans="1:5" x14ac:dyDescent="0.25">
      <c r="A12" s="1" t="s">
        <v>74</v>
      </c>
      <c r="B12" s="118">
        <v>2020</v>
      </c>
      <c r="C12" s="119">
        <v>27791</v>
      </c>
      <c r="D12" s="120">
        <f t="shared" si="0"/>
        <v>-0.5449767502783418</v>
      </c>
    </row>
    <row r="13" spans="1:5" x14ac:dyDescent="0.25">
      <c r="A13" s="1" t="s">
        <v>76</v>
      </c>
      <c r="B13" s="118">
        <v>2019</v>
      </c>
      <c r="C13" s="119">
        <v>61076</v>
      </c>
      <c r="D13" s="120">
        <f t="shared" si="0"/>
        <v>-0.18826171900958255</v>
      </c>
    </row>
    <row r="14" spans="1:5" x14ac:dyDescent="0.25">
      <c r="A14" s="1" t="s">
        <v>78</v>
      </c>
      <c r="B14" s="118">
        <v>2018</v>
      </c>
      <c r="C14" s="119">
        <v>75241</v>
      </c>
      <c r="D14" s="120">
        <f t="shared" si="0"/>
        <v>-0.19994683396246482</v>
      </c>
    </row>
    <row r="15" spans="1:5" x14ac:dyDescent="0.25">
      <c r="A15" s="1" t="s">
        <v>80</v>
      </c>
      <c r="B15" s="118">
        <v>2017</v>
      </c>
      <c r="C15" s="119">
        <v>94045</v>
      </c>
      <c r="D15" s="120">
        <f>C15/C16-1</f>
        <v>6.2055314823730168E-3</v>
      </c>
    </row>
    <row r="16" spans="1:5" x14ac:dyDescent="0.25">
      <c r="A16" s="1" t="s">
        <v>82</v>
      </c>
      <c r="B16" s="118">
        <v>2016</v>
      </c>
      <c r="C16" s="119">
        <v>93465</v>
      </c>
      <c r="D16" s="120">
        <f>C16/C17-1</f>
        <v>-1.942990232592301E-2</v>
      </c>
    </row>
    <row r="17" spans="1:4" x14ac:dyDescent="0.25">
      <c r="A17" s="1" t="s">
        <v>84</v>
      </c>
      <c r="B17" s="118">
        <v>2015</v>
      </c>
      <c r="C17" s="119">
        <v>95317</v>
      </c>
      <c r="D17" s="120">
        <f t="shared" si="0"/>
        <v>0.10538095790328184</v>
      </c>
    </row>
    <row r="18" spans="1:4" x14ac:dyDescent="0.25">
      <c r="A18" s="1" t="s">
        <v>86</v>
      </c>
      <c r="B18" s="118">
        <v>2014</v>
      </c>
      <c r="C18" s="119">
        <v>86230</v>
      </c>
      <c r="D18" s="120">
        <f t="shared" si="0"/>
        <v>0.33509839441373646</v>
      </c>
    </row>
    <row r="19" spans="1:4" x14ac:dyDescent="0.25">
      <c r="A19" s="1" t="s">
        <v>88</v>
      </c>
      <c r="B19" s="118">
        <v>2013</v>
      </c>
      <c r="C19" s="119">
        <v>64587</v>
      </c>
      <c r="D19" s="120">
        <f t="shared" si="0"/>
        <v>0.10241179783911103</v>
      </c>
    </row>
    <row r="20" spans="1:4" x14ac:dyDescent="0.25">
      <c r="A20" s="1" t="s">
        <v>90</v>
      </c>
      <c r="B20" s="118">
        <v>2012</v>
      </c>
      <c r="C20" s="119">
        <v>58587</v>
      </c>
      <c r="D20" s="120">
        <f>C20/C21-1</f>
        <v>-5.2005630976845074E-2</v>
      </c>
    </row>
    <row r="21" spans="1:4" x14ac:dyDescent="0.25">
      <c r="A21" s="1" t="s">
        <v>92</v>
      </c>
      <c r="B21" s="118">
        <v>2011</v>
      </c>
      <c r="C21" s="119">
        <v>61801</v>
      </c>
      <c r="D21" s="120">
        <f t="shared" si="0"/>
        <v>2.7584716171726864E-2</v>
      </c>
    </row>
    <row r="22" spans="1:4" x14ac:dyDescent="0.25">
      <c r="A22" s="1" t="s">
        <v>94</v>
      </c>
      <c r="B22" s="118">
        <v>2010</v>
      </c>
      <c r="C22" s="119">
        <v>60142</v>
      </c>
      <c r="D22" s="120"/>
    </row>
    <row r="23" spans="1:4" ht="6" customHeight="1" x14ac:dyDescent="0.25"/>
    <row r="24" spans="1:4" x14ac:dyDescent="0.25">
      <c r="B24" s="107" t="s">
        <v>57</v>
      </c>
      <c r="C24" s="107"/>
      <c r="D24" s="107"/>
    </row>
  </sheetData>
  <mergeCells count="2">
    <mergeCell ref="B4:D4"/>
    <mergeCell ref="C6:D6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7B2557-A585-4C58-B29C-1FDA510D6E9E}">
  <sheetPr>
    <tabColor rgb="FF92D050"/>
  </sheetPr>
  <dimension ref="B1:W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4.7109375" customWidth="1"/>
    <col min="3" max="8" width="11.42578125" customWidth="1"/>
    <col min="9" max="10" width="10.7109375" customWidth="1"/>
    <col min="11" max="11" width="12" customWidth="1"/>
    <col min="12" max="12" width="10.7109375" customWidth="1"/>
    <col min="13" max="18" width="12.28515625" customWidth="1"/>
    <col min="19" max="19" width="10.7109375" customWidth="1"/>
    <col min="20" max="20" width="13" customWidth="1"/>
    <col min="21" max="21" width="10.7109375" customWidth="1"/>
    <col min="24" max="24" width="14.42578125" customWidth="1"/>
    <col min="25" max="26" width="7.85546875" customWidth="1"/>
    <col min="27" max="27" width="8.140625" customWidth="1"/>
    <col min="28" max="28" width="9" customWidth="1"/>
    <col min="29" max="30" width="9.42578125" customWidth="1"/>
  </cols>
  <sheetData>
    <row r="1" spans="2:23" ht="42.75" customHeight="1" x14ac:dyDescent="0.25"/>
    <row r="3" spans="2:23" ht="30.75" customHeight="1" thickBot="1" x14ac:dyDescent="0.3">
      <c r="B3" s="84" t="str">
        <f>CONCATENATE("Plazas alojativas en funcionamiento Tenerife y municipios")</f>
        <v>Plazas alojativas en funcionamiento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  <c r="T3" s="66"/>
      <c r="U3" s="66"/>
      <c r="V3" s="66"/>
      <c r="W3" s="66"/>
    </row>
    <row r="4" spans="2:23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5"/>
      <c r="Q4" s="85"/>
      <c r="R4" s="86"/>
      <c r="S4" s="86"/>
      <c r="T4" s="86"/>
      <c r="U4" s="86"/>
      <c r="V4" s="86"/>
      <c r="W4" s="86"/>
    </row>
    <row r="5" spans="2:23" ht="15.75" thickBot="1" x14ac:dyDescent="0.3">
      <c r="B5" s="87"/>
      <c r="C5" s="301" t="s">
        <v>60</v>
      </c>
      <c r="D5" s="301"/>
      <c r="E5" s="301"/>
      <c r="F5" s="301"/>
      <c r="G5" s="301"/>
      <c r="H5" s="301"/>
      <c r="I5" s="88"/>
      <c r="J5" s="88"/>
      <c r="K5" s="88"/>
      <c r="L5" s="88"/>
      <c r="M5" s="89"/>
      <c r="N5" s="302" t="s">
        <v>61</v>
      </c>
      <c r="O5" s="302"/>
      <c r="P5" s="302"/>
      <c r="Q5" s="302"/>
      <c r="R5" s="302"/>
      <c r="S5" s="88"/>
      <c r="T5" s="88"/>
      <c r="U5" s="88"/>
      <c r="V5" s="88"/>
      <c r="W5" s="89"/>
    </row>
    <row r="6" spans="2:23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CONCATENATE("var. ",RIGHT(H6,2),"/",RIGHT(D6,2))</f>
        <v>var. 24/20</v>
      </c>
      <c r="K6" s="91" t="str">
        <f>CONCATENATE("dif. ",RIGHT(H6,2),"/",RIGHT(G6,2))</f>
        <v>dif. 24/23</v>
      </c>
      <c r="L6" s="91" t="str">
        <f>CONCATENATE("dif. ",RIGHT(H6,2),"/",RIGHT(D6,2))</f>
        <v>dif. 24/20</v>
      </c>
      <c r="M6" s="14" t="str">
        <f>CONCATENATE("cuota/ total isla ",RIGHT(H6,2))</f>
        <v>cuota/ total isla 24</v>
      </c>
      <c r="N6" s="92" t="s">
        <v>224</v>
      </c>
      <c r="O6" s="92" t="s">
        <v>225</v>
      </c>
      <c r="P6" s="92" t="s">
        <v>226</v>
      </c>
      <c r="Q6" s="92" t="s">
        <v>227</v>
      </c>
      <c r="R6" s="92" t="s">
        <v>228</v>
      </c>
      <c r="S6" s="91" t="str">
        <f>CONCATENATE("var. ",RIGHT(R6,2),"/",RIGHT(Q6,2))</f>
        <v>var. 25/24</v>
      </c>
      <c r="T6" s="91" t="str">
        <f>CONCATENATE("var. ",RIGHT(R6,2),"/",RIGHT(N6,2))</f>
        <v>var. 25/21</v>
      </c>
      <c r="U6" s="91" t="str">
        <f>CONCATENATE("dif. ",RIGHT(R6,2),"/",RIGHT(Q6,2))</f>
        <v>dif. 25/24</v>
      </c>
      <c r="V6" s="91" t="str">
        <f>CONCATENATE("dif. ",RIGHT(R6,2),"/",RIGHT(N6,2))</f>
        <v>dif. 25/21</v>
      </c>
      <c r="W6" s="89" t="str">
        <f>CONCATENATE("cuota/ total isla ",RIGHT(R6,2))</f>
        <v>cuota/ total isla 25</v>
      </c>
    </row>
    <row r="7" spans="2:23" x14ac:dyDescent="0.25">
      <c r="B7" s="93" t="s">
        <v>45</v>
      </c>
      <c r="C7" s="94">
        <v>132144</v>
      </c>
      <c r="D7" s="94">
        <v>66601</v>
      </c>
      <c r="E7" s="94">
        <v>82456</v>
      </c>
      <c r="F7" s="94">
        <v>123696</v>
      </c>
      <c r="G7" s="94">
        <v>125536</v>
      </c>
      <c r="H7" s="94">
        <v>127400</v>
      </c>
      <c r="I7" s="95">
        <f t="shared" ref="I7:I52" si="0">IFERROR(H7/G7-1,"-")</f>
        <v>1.4848330359418904E-2</v>
      </c>
      <c r="J7" s="95">
        <f t="shared" ref="J7:J52" si="1">IFERROR(H7/D7-1,"-")</f>
        <v>0.91288419092806405</v>
      </c>
      <c r="K7" s="94">
        <f t="shared" ref="K7:K52" si="2">IFERROR(H7-G7,"-")</f>
        <v>1864</v>
      </c>
      <c r="L7" s="94">
        <f t="shared" ref="L7:L52" si="3">IFERROR(H7-D7,"-")</f>
        <v>60799</v>
      </c>
      <c r="M7" s="95">
        <f>H7/H7</f>
        <v>1</v>
      </c>
      <c r="N7" s="94">
        <v>75767</v>
      </c>
      <c r="O7" s="94">
        <v>124698</v>
      </c>
      <c r="P7" s="94">
        <v>124223</v>
      </c>
      <c r="Q7" s="94">
        <v>125992</v>
      </c>
      <c r="R7" s="94">
        <v>123702</v>
      </c>
      <c r="S7" s="95">
        <f t="shared" ref="S7:S52" si="4">IFERROR(R7/Q7-1,"-")</f>
        <v>-1.8175757190932784E-2</v>
      </c>
      <c r="T7" s="95">
        <f t="shared" ref="T7:T52" si="5">IFERROR(R7/N7-1,"-")</f>
        <v>0.63266329668589227</v>
      </c>
      <c r="U7" s="94">
        <f t="shared" ref="U7:U52" si="6">IFERROR(R7-Q7,"-")</f>
        <v>-2290</v>
      </c>
      <c r="V7" s="94">
        <f t="shared" ref="V7:V52" si="7">IFERROR(R7-N7,"-")</f>
        <v>47935</v>
      </c>
      <c r="W7" s="95">
        <f>R7/R7</f>
        <v>1</v>
      </c>
    </row>
    <row r="8" spans="2:23" x14ac:dyDescent="0.25">
      <c r="B8" s="96" t="s">
        <v>62</v>
      </c>
      <c r="C8" s="97">
        <v>88579</v>
      </c>
      <c r="D8" s="97">
        <v>44487</v>
      </c>
      <c r="E8" s="97">
        <v>56791</v>
      </c>
      <c r="F8" s="97">
        <v>89503</v>
      </c>
      <c r="G8" s="97">
        <v>89318</v>
      </c>
      <c r="H8" s="97">
        <v>91567</v>
      </c>
      <c r="I8" s="98">
        <f t="shared" si="0"/>
        <v>2.5179695022280013E-2</v>
      </c>
      <c r="J8" s="98">
        <f t="shared" si="1"/>
        <v>1.0582866904938522</v>
      </c>
      <c r="K8" s="97">
        <f t="shared" si="2"/>
        <v>2249</v>
      </c>
      <c r="L8" s="97">
        <f t="shared" si="3"/>
        <v>47080</v>
      </c>
      <c r="M8" s="98">
        <f>H8/H7</f>
        <v>0.71873626373626376</v>
      </c>
      <c r="N8" s="97">
        <v>50376</v>
      </c>
      <c r="O8" s="97">
        <v>90035</v>
      </c>
      <c r="P8" s="97">
        <v>88140</v>
      </c>
      <c r="Q8" s="97">
        <v>90425</v>
      </c>
      <c r="R8" s="97">
        <v>87684</v>
      </c>
      <c r="S8" s="98">
        <f t="shared" si="4"/>
        <v>-3.0312413602432975E-2</v>
      </c>
      <c r="T8" s="98">
        <f t="shared" si="5"/>
        <v>0.74059075750357306</v>
      </c>
      <c r="U8" s="97">
        <f t="shared" si="6"/>
        <v>-2741</v>
      </c>
      <c r="V8" s="97">
        <f t="shared" si="7"/>
        <v>37308</v>
      </c>
      <c r="W8" s="98">
        <f>R8/R7</f>
        <v>0.70883251685502258</v>
      </c>
    </row>
    <row r="9" spans="2:23" x14ac:dyDescent="0.25">
      <c r="B9" s="99" t="s">
        <v>63</v>
      </c>
      <c r="C9" s="53">
        <v>69015</v>
      </c>
      <c r="D9" s="53">
        <v>34865</v>
      </c>
      <c r="E9" s="53">
        <v>45244</v>
      </c>
      <c r="F9" s="53">
        <v>71471</v>
      </c>
      <c r="G9" s="53">
        <v>72829</v>
      </c>
      <c r="H9" s="53">
        <v>74916</v>
      </c>
      <c r="I9" s="100">
        <f t="shared" si="0"/>
        <v>2.8656167186148274E-2</v>
      </c>
      <c r="J9" s="100">
        <f t="shared" si="1"/>
        <v>1.1487451599024809</v>
      </c>
      <c r="K9" s="53">
        <f t="shared" si="2"/>
        <v>2087</v>
      </c>
      <c r="L9" s="53">
        <f t="shared" si="3"/>
        <v>40051</v>
      </c>
      <c r="M9" s="100">
        <f>H9/H7</f>
        <v>0.58803767660910522</v>
      </c>
      <c r="N9" s="53">
        <v>41725</v>
      </c>
      <c r="O9" s="53">
        <v>71922</v>
      </c>
      <c r="P9" s="53">
        <v>72243</v>
      </c>
      <c r="Q9" s="53">
        <v>74240</v>
      </c>
      <c r="R9" s="53">
        <v>72139</v>
      </c>
      <c r="S9" s="100">
        <f t="shared" si="4"/>
        <v>-2.8300107758620685E-2</v>
      </c>
      <c r="T9" s="100">
        <f t="shared" si="5"/>
        <v>0.72891551827441581</v>
      </c>
      <c r="U9" s="53">
        <f t="shared" si="6"/>
        <v>-2101</v>
      </c>
      <c r="V9" s="53">
        <f t="shared" si="7"/>
        <v>30414</v>
      </c>
      <c r="W9" s="100">
        <f>R9/R7</f>
        <v>0.58316761248807614</v>
      </c>
    </row>
    <row r="10" spans="2:23" x14ac:dyDescent="0.25">
      <c r="B10" s="99" t="s">
        <v>64</v>
      </c>
      <c r="C10" s="53">
        <v>19564</v>
      </c>
      <c r="D10" s="53">
        <v>9622</v>
      </c>
      <c r="E10" s="53">
        <v>11547</v>
      </c>
      <c r="F10" s="53">
        <v>18032</v>
      </c>
      <c r="G10" s="53">
        <v>16489</v>
      </c>
      <c r="H10" s="53">
        <v>16651</v>
      </c>
      <c r="I10" s="100">
        <f t="shared" si="0"/>
        <v>9.8247316392747752E-3</v>
      </c>
      <c r="J10" s="100">
        <f t="shared" si="1"/>
        <v>0.73051340677613807</v>
      </c>
      <c r="K10" s="53">
        <f t="shared" si="2"/>
        <v>162</v>
      </c>
      <c r="L10" s="53">
        <f t="shared" si="3"/>
        <v>7029</v>
      </c>
      <c r="M10" s="100">
        <f>H10/H7</f>
        <v>0.13069858712715857</v>
      </c>
      <c r="N10" s="53">
        <v>8651</v>
      </c>
      <c r="O10" s="53">
        <v>18113</v>
      </c>
      <c r="P10" s="53">
        <v>15897</v>
      </c>
      <c r="Q10" s="53">
        <v>16185</v>
      </c>
      <c r="R10" s="53">
        <v>15545</v>
      </c>
      <c r="S10" s="100">
        <f t="shared" si="4"/>
        <v>-3.9542786530738283E-2</v>
      </c>
      <c r="T10" s="100">
        <f t="shared" si="5"/>
        <v>0.79690209224367115</v>
      </c>
      <c r="U10" s="53">
        <f t="shared" si="6"/>
        <v>-640</v>
      </c>
      <c r="V10" s="53">
        <f t="shared" si="7"/>
        <v>6894</v>
      </c>
      <c r="W10" s="100">
        <f>R10/R7</f>
        <v>0.12566490436694638</v>
      </c>
    </row>
    <row r="11" spans="2:23" x14ac:dyDescent="0.25">
      <c r="B11" s="96" t="s">
        <v>65</v>
      </c>
      <c r="C11" s="97">
        <v>43565</v>
      </c>
      <c r="D11" s="97">
        <v>22114</v>
      </c>
      <c r="E11" s="97">
        <v>25665</v>
      </c>
      <c r="F11" s="97">
        <v>34193</v>
      </c>
      <c r="G11" s="97">
        <v>36218</v>
      </c>
      <c r="H11" s="97">
        <v>35833</v>
      </c>
      <c r="I11" s="98">
        <f t="shared" si="0"/>
        <v>-1.0630073444143795E-2</v>
      </c>
      <c r="J11" s="98">
        <f t="shared" si="1"/>
        <v>0.62037623225106264</v>
      </c>
      <c r="K11" s="97">
        <f t="shared" si="2"/>
        <v>-385</v>
      </c>
      <c r="L11" s="97">
        <f t="shared" si="3"/>
        <v>13719</v>
      </c>
      <c r="M11" s="98">
        <f>H11/H7</f>
        <v>0.28126373626373624</v>
      </c>
      <c r="N11" s="97">
        <v>25391</v>
      </c>
      <c r="O11" s="97">
        <v>34663</v>
      </c>
      <c r="P11" s="97">
        <v>36083</v>
      </c>
      <c r="Q11" s="97">
        <v>35567</v>
      </c>
      <c r="R11" s="97">
        <v>36018</v>
      </c>
      <c r="S11" s="98">
        <f t="shared" si="4"/>
        <v>1.2680293530519915E-2</v>
      </c>
      <c r="T11" s="98">
        <f t="shared" si="5"/>
        <v>0.41853412626521203</v>
      </c>
      <c r="U11" s="97">
        <f t="shared" si="6"/>
        <v>451</v>
      </c>
      <c r="V11" s="97">
        <f t="shared" si="7"/>
        <v>10627</v>
      </c>
      <c r="W11" s="98">
        <f>R11/R7</f>
        <v>0.29116748314497742</v>
      </c>
    </row>
    <row r="12" spans="2:23" x14ac:dyDescent="0.25">
      <c r="B12" s="93" t="s">
        <v>46</v>
      </c>
      <c r="C12" s="101">
        <v>46648</v>
      </c>
      <c r="D12" s="101">
        <v>23742</v>
      </c>
      <c r="E12" s="101">
        <v>29697</v>
      </c>
      <c r="F12" s="101">
        <v>44233</v>
      </c>
      <c r="G12" s="101">
        <v>45902</v>
      </c>
      <c r="H12" s="101">
        <v>46521</v>
      </c>
      <c r="I12" s="102">
        <f t="shared" si="0"/>
        <v>1.3485251187312031E-2</v>
      </c>
      <c r="J12" s="102">
        <f t="shared" si="1"/>
        <v>0.95943896891584535</v>
      </c>
      <c r="K12" s="101">
        <f t="shared" si="2"/>
        <v>619</v>
      </c>
      <c r="L12" s="101">
        <f t="shared" si="3"/>
        <v>22779</v>
      </c>
      <c r="M12" s="95">
        <f>H12/H12</f>
        <v>1</v>
      </c>
      <c r="N12" s="101">
        <v>30111</v>
      </c>
      <c r="O12" s="101">
        <v>44921</v>
      </c>
      <c r="P12" s="101">
        <v>45920</v>
      </c>
      <c r="Q12" s="101">
        <v>46039</v>
      </c>
      <c r="R12" s="101">
        <v>43954</v>
      </c>
      <c r="S12" s="102">
        <f t="shared" si="4"/>
        <v>-4.5287690870783437E-2</v>
      </c>
      <c r="T12" s="102">
        <f t="shared" si="5"/>
        <v>0.45973232373551198</v>
      </c>
      <c r="U12" s="101">
        <f t="shared" si="6"/>
        <v>-2085</v>
      </c>
      <c r="V12" s="101">
        <f t="shared" si="7"/>
        <v>13843</v>
      </c>
      <c r="W12" s="95">
        <f>R12/R12</f>
        <v>1</v>
      </c>
    </row>
    <row r="13" spans="2:23" x14ac:dyDescent="0.25">
      <c r="B13" s="96" t="s">
        <v>62</v>
      </c>
      <c r="C13" s="97">
        <v>34050</v>
      </c>
      <c r="D13" s="97">
        <v>17566</v>
      </c>
      <c r="E13" s="97">
        <v>23340</v>
      </c>
      <c r="F13" s="97">
        <v>34827</v>
      </c>
      <c r="G13" s="97">
        <v>34946</v>
      </c>
      <c r="H13" s="97">
        <v>35191</v>
      </c>
      <c r="I13" s="98">
        <f t="shared" si="0"/>
        <v>7.0108166886053702E-3</v>
      </c>
      <c r="J13" s="98">
        <f t="shared" si="1"/>
        <v>1.003358761243311</v>
      </c>
      <c r="K13" s="97">
        <f t="shared" si="2"/>
        <v>245</v>
      </c>
      <c r="L13" s="97">
        <f t="shared" si="3"/>
        <v>17625</v>
      </c>
      <c r="M13" s="98">
        <f>H13/H12</f>
        <v>0.75645407450398749</v>
      </c>
      <c r="N13" s="97">
        <v>22844</v>
      </c>
      <c r="O13" s="97">
        <v>35166</v>
      </c>
      <c r="P13" s="97">
        <v>34910</v>
      </c>
      <c r="Q13" s="97">
        <v>34652</v>
      </c>
      <c r="R13" s="97">
        <v>32335</v>
      </c>
      <c r="S13" s="98">
        <f t="shared" si="4"/>
        <v>-6.6864827426988294E-2</v>
      </c>
      <c r="T13" s="98">
        <f t="shared" si="5"/>
        <v>0.41547014533356674</v>
      </c>
      <c r="U13" s="97">
        <f t="shared" si="6"/>
        <v>-2317</v>
      </c>
      <c r="V13" s="97">
        <f t="shared" si="7"/>
        <v>9491</v>
      </c>
      <c r="W13" s="98">
        <f>R13/R12</f>
        <v>0.73565545797879606</v>
      </c>
    </row>
    <row r="14" spans="2:23" x14ac:dyDescent="0.25">
      <c r="B14" s="99" t="s">
        <v>63</v>
      </c>
      <c r="C14" s="53">
        <v>27660</v>
      </c>
      <c r="D14" s="53">
        <v>14847</v>
      </c>
      <c r="E14" s="53">
        <v>20181</v>
      </c>
      <c r="F14" s="53">
        <v>29820</v>
      </c>
      <c r="G14" s="53">
        <v>30493</v>
      </c>
      <c r="H14" s="53">
        <v>31141</v>
      </c>
      <c r="I14" s="100">
        <f t="shared" si="0"/>
        <v>2.1250778867281106E-2</v>
      </c>
      <c r="J14" s="100">
        <f t="shared" si="1"/>
        <v>1.0974607664848119</v>
      </c>
      <c r="K14" s="53">
        <f t="shared" si="2"/>
        <v>648</v>
      </c>
      <c r="L14" s="53">
        <f t="shared" si="3"/>
        <v>16294</v>
      </c>
      <c r="M14" s="100">
        <f>H14/H12</f>
        <v>0.66939661658175875</v>
      </c>
      <c r="N14" s="53">
        <v>20914</v>
      </c>
      <c r="O14" s="53">
        <v>30154</v>
      </c>
      <c r="P14" s="53">
        <v>30585</v>
      </c>
      <c r="Q14" s="53">
        <v>30875</v>
      </c>
      <c r="R14" s="53">
        <v>28330</v>
      </c>
      <c r="S14" s="100">
        <f t="shared" si="4"/>
        <v>-8.2429149797570878E-2</v>
      </c>
      <c r="T14" s="100">
        <f t="shared" si="5"/>
        <v>0.35459500812852629</v>
      </c>
      <c r="U14" s="53">
        <f t="shared" si="6"/>
        <v>-2545</v>
      </c>
      <c r="V14" s="53">
        <f t="shared" si="7"/>
        <v>7416</v>
      </c>
      <c r="W14" s="100">
        <f>R14/R12</f>
        <v>0.64453747099240111</v>
      </c>
    </row>
    <row r="15" spans="2:23" x14ac:dyDescent="0.25">
      <c r="B15" s="99" t="s">
        <v>64</v>
      </c>
      <c r="C15" s="53">
        <v>6390</v>
      </c>
      <c r="D15" s="53">
        <v>2720</v>
      </c>
      <c r="E15" s="53">
        <v>3159</v>
      </c>
      <c r="F15" s="53">
        <v>5006</v>
      </c>
      <c r="G15" s="53">
        <v>4453</v>
      </c>
      <c r="H15" s="53">
        <v>4050</v>
      </c>
      <c r="I15" s="100">
        <f t="shared" si="0"/>
        <v>-9.0500785986975085E-2</v>
      </c>
      <c r="J15" s="100">
        <f t="shared" si="1"/>
        <v>0.48897058823529416</v>
      </c>
      <c r="K15" s="53">
        <f t="shared" si="2"/>
        <v>-403</v>
      </c>
      <c r="L15" s="53">
        <f t="shared" si="3"/>
        <v>1330</v>
      </c>
      <c r="M15" s="100">
        <f>H15/H12</f>
        <v>8.7057457922228673E-2</v>
      </c>
      <c r="N15" s="53">
        <v>1930</v>
      </c>
      <c r="O15" s="53">
        <v>5012</v>
      </c>
      <c r="P15" s="53">
        <v>4325</v>
      </c>
      <c r="Q15" s="53">
        <v>3777</v>
      </c>
      <c r="R15" s="53">
        <v>4005</v>
      </c>
      <c r="S15" s="100">
        <f t="shared" si="4"/>
        <v>6.0365369340746655E-2</v>
      </c>
      <c r="T15" s="100">
        <f t="shared" si="5"/>
        <v>1.0751295336787563</v>
      </c>
      <c r="U15" s="53">
        <f t="shared" si="6"/>
        <v>228</v>
      </c>
      <c r="V15" s="53">
        <f t="shared" si="7"/>
        <v>2075</v>
      </c>
      <c r="W15" s="100">
        <f>R15/R12</f>
        <v>9.1117986986394867E-2</v>
      </c>
    </row>
    <row r="16" spans="2:23" x14ac:dyDescent="0.25">
      <c r="B16" s="96" t="s">
        <v>65</v>
      </c>
      <c r="C16" s="97">
        <v>12598</v>
      </c>
      <c r="D16" s="97">
        <v>6176</v>
      </c>
      <c r="E16" s="97">
        <v>6357</v>
      </c>
      <c r="F16" s="97">
        <v>9406</v>
      </c>
      <c r="G16" s="97">
        <v>10956</v>
      </c>
      <c r="H16" s="97">
        <v>11330</v>
      </c>
      <c r="I16" s="98">
        <f t="shared" si="0"/>
        <v>3.4136546184738936E-2</v>
      </c>
      <c r="J16" s="98">
        <f t="shared" si="1"/>
        <v>0.83452072538860111</v>
      </c>
      <c r="K16" s="97">
        <f t="shared" si="2"/>
        <v>374</v>
      </c>
      <c r="L16" s="97">
        <f t="shared" si="3"/>
        <v>5154</v>
      </c>
      <c r="M16" s="98">
        <f>H16/H12</f>
        <v>0.24354592549601256</v>
      </c>
      <c r="N16" s="97">
        <v>7267</v>
      </c>
      <c r="O16" s="97">
        <v>9755</v>
      </c>
      <c r="P16" s="97">
        <v>11010</v>
      </c>
      <c r="Q16" s="97">
        <v>11387</v>
      </c>
      <c r="R16" s="97">
        <v>11619</v>
      </c>
      <c r="S16" s="98">
        <f t="shared" si="4"/>
        <v>2.0374110828137448E-2</v>
      </c>
      <c r="T16" s="98">
        <f t="shared" si="5"/>
        <v>0.59887161139397271</v>
      </c>
      <c r="U16" s="97">
        <f t="shared" si="6"/>
        <v>232</v>
      </c>
      <c r="V16" s="97">
        <f t="shared" si="7"/>
        <v>4352</v>
      </c>
      <c r="W16" s="98">
        <f>R16/R12</f>
        <v>0.264344542021204</v>
      </c>
    </row>
    <row r="17" spans="2:23" x14ac:dyDescent="0.25">
      <c r="B17" s="93" t="s">
        <v>53</v>
      </c>
      <c r="C17" s="101">
        <v>2690</v>
      </c>
      <c r="D17" s="101">
        <v>1526</v>
      </c>
      <c r="E17" s="101">
        <v>2270</v>
      </c>
      <c r="F17" s="101">
        <v>2680</v>
      </c>
      <c r="G17" s="101">
        <v>2774</v>
      </c>
      <c r="H17" s="101">
        <v>2714</v>
      </c>
      <c r="I17" s="102">
        <f t="shared" si="0"/>
        <v>-2.1629416005767843E-2</v>
      </c>
      <c r="J17" s="102">
        <f t="shared" si="1"/>
        <v>0.77850589777195278</v>
      </c>
      <c r="K17" s="101">
        <f t="shared" si="2"/>
        <v>-60</v>
      </c>
      <c r="L17" s="101">
        <f t="shared" si="3"/>
        <v>1188</v>
      </c>
      <c r="M17" s="95">
        <f>H17/H17</f>
        <v>1</v>
      </c>
      <c r="N17" s="101">
        <v>2378</v>
      </c>
      <c r="O17" s="101">
        <v>2710</v>
      </c>
      <c r="P17" s="101">
        <v>2739</v>
      </c>
      <c r="Q17" s="101">
        <v>2773</v>
      </c>
      <c r="R17" s="101">
        <v>2679</v>
      </c>
      <c r="S17" s="102">
        <f t="shared" si="4"/>
        <v>-3.3898305084745783E-2</v>
      </c>
      <c r="T17" s="102">
        <f t="shared" si="5"/>
        <v>0.12657695542472669</v>
      </c>
      <c r="U17" s="101">
        <f t="shared" si="6"/>
        <v>-94</v>
      </c>
      <c r="V17" s="101">
        <f t="shared" si="7"/>
        <v>301</v>
      </c>
      <c r="W17" s="95">
        <f>R17/R17</f>
        <v>1</v>
      </c>
    </row>
    <row r="18" spans="2:23" x14ac:dyDescent="0.25">
      <c r="B18" s="96" t="s">
        <v>62</v>
      </c>
      <c r="C18" s="97">
        <v>2690</v>
      </c>
      <c r="D18" s="97">
        <v>1526</v>
      </c>
      <c r="E18" s="97">
        <v>2270</v>
      </c>
      <c r="F18" s="97">
        <v>2680</v>
      </c>
      <c r="G18" s="97">
        <v>2774</v>
      </c>
      <c r="H18" s="97">
        <v>2714</v>
      </c>
      <c r="I18" s="98">
        <f t="shared" si="0"/>
        <v>-2.1629416005767843E-2</v>
      </c>
      <c r="J18" s="98">
        <f t="shared" si="1"/>
        <v>0.77850589777195278</v>
      </c>
      <c r="K18" s="97">
        <f t="shared" si="2"/>
        <v>-60</v>
      </c>
      <c r="L18" s="97">
        <f t="shared" si="3"/>
        <v>1188</v>
      </c>
      <c r="M18" s="98">
        <f>H18/H17</f>
        <v>1</v>
      </c>
      <c r="N18" s="97">
        <v>2378</v>
      </c>
      <c r="O18" s="97">
        <v>2710</v>
      </c>
      <c r="P18" s="97">
        <v>2739</v>
      </c>
      <c r="Q18" s="97">
        <v>2773</v>
      </c>
      <c r="R18" s="97">
        <v>2679</v>
      </c>
      <c r="S18" s="98">
        <f t="shared" si="4"/>
        <v>-3.3898305084745783E-2</v>
      </c>
      <c r="T18" s="98">
        <f t="shared" si="5"/>
        <v>0.12657695542472669</v>
      </c>
      <c r="U18" s="97">
        <f t="shared" si="6"/>
        <v>-94</v>
      </c>
      <c r="V18" s="97">
        <f t="shared" si="7"/>
        <v>301</v>
      </c>
      <c r="W18" s="98">
        <f>R18/R17</f>
        <v>1</v>
      </c>
    </row>
    <row r="19" spans="2:23" x14ac:dyDescent="0.25">
      <c r="B19" s="99" t="s">
        <v>63</v>
      </c>
      <c r="C19" s="53">
        <v>1381</v>
      </c>
      <c r="D19" s="53">
        <v>846</v>
      </c>
      <c r="E19" s="53">
        <v>1514</v>
      </c>
      <c r="F19" s="53">
        <v>1660</v>
      </c>
      <c r="G19" s="53">
        <v>1674</v>
      </c>
      <c r="H19" s="53">
        <v>1711</v>
      </c>
      <c r="I19" s="100">
        <f t="shared" si="0"/>
        <v>2.2102747909199527E-2</v>
      </c>
      <c r="J19" s="100">
        <f t="shared" si="1"/>
        <v>1.0224586288416075</v>
      </c>
      <c r="K19" s="53">
        <f t="shared" si="2"/>
        <v>37</v>
      </c>
      <c r="L19" s="53">
        <f t="shared" si="3"/>
        <v>865</v>
      </c>
      <c r="M19" s="100">
        <f>H19/H17</f>
        <v>0.63043478260869568</v>
      </c>
      <c r="N19" s="53">
        <v>1658</v>
      </c>
      <c r="O19" s="53">
        <v>1674</v>
      </c>
      <c r="P19" s="53">
        <v>1674</v>
      </c>
      <c r="Q19" s="53">
        <v>1681</v>
      </c>
      <c r="R19" s="53">
        <v>1847</v>
      </c>
      <c r="S19" s="100">
        <f t="shared" si="4"/>
        <v>9.8750743604997027E-2</v>
      </c>
      <c r="T19" s="100">
        <f t="shared" si="5"/>
        <v>0.11399276236429423</v>
      </c>
      <c r="U19" s="53">
        <f t="shared" si="6"/>
        <v>166</v>
      </c>
      <c r="V19" s="53">
        <f t="shared" si="7"/>
        <v>189</v>
      </c>
      <c r="W19" s="100">
        <f>R19/R17</f>
        <v>0.68943635684957072</v>
      </c>
    </row>
    <row r="20" spans="2:23" x14ac:dyDescent="0.25">
      <c r="B20" s="99" t="s">
        <v>64</v>
      </c>
      <c r="C20" s="53">
        <v>1309</v>
      </c>
      <c r="D20" s="53">
        <v>680</v>
      </c>
      <c r="E20" s="53">
        <v>756</v>
      </c>
      <c r="F20" s="53">
        <v>1020</v>
      </c>
      <c r="G20" s="53">
        <v>1100</v>
      </c>
      <c r="H20" s="53">
        <v>1003</v>
      </c>
      <c r="I20" s="100">
        <f t="shared" si="0"/>
        <v>-8.8181818181818139E-2</v>
      </c>
      <c r="J20" s="100">
        <f t="shared" si="1"/>
        <v>0.47500000000000009</v>
      </c>
      <c r="K20" s="53">
        <f t="shared" si="2"/>
        <v>-97</v>
      </c>
      <c r="L20" s="53">
        <f t="shared" si="3"/>
        <v>323</v>
      </c>
      <c r="M20" s="100">
        <f>H20/H17</f>
        <v>0.36956521739130432</v>
      </c>
      <c r="N20" s="53">
        <v>720</v>
      </c>
      <c r="O20" s="53">
        <v>1036</v>
      </c>
      <c r="P20" s="53">
        <v>1065</v>
      </c>
      <c r="Q20" s="53">
        <v>1092</v>
      </c>
      <c r="R20" s="53">
        <v>832</v>
      </c>
      <c r="S20" s="100">
        <f t="shared" si="4"/>
        <v>-0.23809523809523814</v>
      </c>
      <c r="T20" s="100">
        <f t="shared" si="5"/>
        <v>0.15555555555555545</v>
      </c>
      <c r="U20" s="53">
        <f t="shared" si="6"/>
        <v>-260</v>
      </c>
      <c r="V20" s="53">
        <f t="shared" si="7"/>
        <v>112</v>
      </c>
      <c r="W20" s="100">
        <f>R20/R17</f>
        <v>0.31056364315042928</v>
      </c>
    </row>
    <row r="21" spans="2:23" x14ac:dyDescent="0.25">
      <c r="B21" s="96" t="s">
        <v>65</v>
      </c>
      <c r="C21" s="97">
        <v>0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8" t="str">
        <f t="shared" si="0"/>
        <v>-</v>
      </c>
      <c r="J21" s="98" t="str">
        <f t="shared" si="1"/>
        <v>-</v>
      </c>
      <c r="K21" s="97">
        <f t="shared" si="2"/>
        <v>0</v>
      </c>
      <c r="L21" s="97">
        <f t="shared" si="3"/>
        <v>0</v>
      </c>
      <c r="M21" s="98">
        <f>H21/H17</f>
        <v>0</v>
      </c>
      <c r="N21" s="97" t="s">
        <v>229</v>
      </c>
      <c r="O21" s="97" t="s">
        <v>229</v>
      </c>
      <c r="P21" s="97" t="s">
        <v>229</v>
      </c>
      <c r="Q21" s="97" t="s">
        <v>229</v>
      </c>
      <c r="R21" s="97" t="s">
        <v>229</v>
      </c>
      <c r="S21" s="98" t="str">
        <f t="shared" si="4"/>
        <v>-</v>
      </c>
      <c r="T21" s="98" t="str">
        <f t="shared" si="5"/>
        <v>-</v>
      </c>
      <c r="U21" s="97" t="str">
        <f t="shared" si="6"/>
        <v>-</v>
      </c>
      <c r="V21" s="97" t="str">
        <f t="shared" si="7"/>
        <v>-</v>
      </c>
      <c r="W21" s="98" t="e">
        <f>R21/R17</f>
        <v>#VALUE!</v>
      </c>
    </row>
    <row r="22" spans="2:23" x14ac:dyDescent="0.25">
      <c r="B22" s="93" t="s">
        <v>48</v>
      </c>
      <c r="C22" s="101">
        <v>1127</v>
      </c>
      <c r="D22" s="101">
        <v>437</v>
      </c>
      <c r="E22" s="101">
        <v>669</v>
      </c>
      <c r="F22" s="101">
        <v>857</v>
      </c>
      <c r="G22" s="101">
        <v>900</v>
      </c>
      <c r="H22" s="101">
        <v>900</v>
      </c>
      <c r="I22" s="102">
        <f t="shared" si="0"/>
        <v>0</v>
      </c>
      <c r="J22" s="102">
        <f t="shared" si="1"/>
        <v>1.0594965675057209</v>
      </c>
      <c r="K22" s="101">
        <f t="shared" si="2"/>
        <v>0</v>
      </c>
      <c r="L22" s="101">
        <f t="shared" si="3"/>
        <v>463</v>
      </c>
      <c r="M22" s="102">
        <f>H22/H22</f>
        <v>1</v>
      </c>
      <c r="N22" s="101">
        <v>802</v>
      </c>
      <c r="O22" s="101">
        <v>844</v>
      </c>
      <c r="P22" s="101">
        <v>912</v>
      </c>
      <c r="Q22" s="101">
        <v>763</v>
      </c>
      <c r="R22" s="101">
        <v>916</v>
      </c>
      <c r="S22" s="102">
        <f t="shared" si="4"/>
        <v>0.20052424639580613</v>
      </c>
      <c r="T22" s="102">
        <f t="shared" si="5"/>
        <v>0.14214463840398994</v>
      </c>
      <c r="U22" s="101">
        <f t="shared" si="6"/>
        <v>153</v>
      </c>
      <c r="V22" s="101">
        <f t="shared" si="7"/>
        <v>114</v>
      </c>
      <c r="W22" s="102">
        <f>R22/R22</f>
        <v>1</v>
      </c>
    </row>
    <row r="23" spans="2:23" x14ac:dyDescent="0.25">
      <c r="B23" s="96" t="s">
        <v>62</v>
      </c>
      <c r="C23" s="97">
        <v>917</v>
      </c>
      <c r="D23" s="97">
        <v>386</v>
      </c>
      <c r="E23" s="97">
        <v>669</v>
      </c>
      <c r="F23" s="97">
        <v>855</v>
      </c>
      <c r="G23" s="97">
        <v>886</v>
      </c>
      <c r="H23" s="97">
        <v>886</v>
      </c>
      <c r="I23" s="98">
        <f t="shared" si="0"/>
        <v>0</v>
      </c>
      <c r="J23" s="98">
        <f t="shared" si="1"/>
        <v>1.295336787564767</v>
      </c>
      <c r="K23" s="97">
        <f t="shared" si="2"/>
        <v>0</v>
      </c>
      <c r="L23" s="97">
        <f t="shared" si="3"/>
        <v>500</v>
      </c>
      <c r="M23" s="98">
        <f>H23/H22</f>
        <v>0.98444444444444446</v>
      </c>
      <c r="N23" s="97">
        <v>802</v>
      </c>
      <c r="O23" s="97">
        <v>844</v>
      </c>
      <c r="P23" s="97">
        <v>898</v>
      </c>
      <c r="Q23" s="97">
        <v>749</v>
      </c>
      <c r="R23" s="97">
        <v>898</v>
      </c>
      <c r="S23" s="98">
        <f t="shared" si="4"/>
        <v>0.19893190921228299</v>
      </c>
      <c r="T23" s="98">
        <f t="shared" si="5"/>
        <v>0.1197007481296759</v>
      </c>
      <c r="U23" s="97">
        <f t="shared" si="6"/>
        <v>149</v>
      </c>
      <c r="V23" s="97">
        <f t="shared" si="7"/>
        <v>96</v>
      </c>
      <c r="W23" s="98">
        <f>R23/R22</f>
        <v>0.98034934497816595</v>
      </c>
    </row>
    <row r="24" spans="2:23" x14ac:dyDescent="0.25">
      <c r="B24" s="96" t="s">
        <v>65</v>
      </c>
      <c r="C24" s="97">
        <v>210</v>
      </c>
      <c r="D24" s="97">
        <v>51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0"/>
        <v>-</v>
      </c>
      <c r="J24" s="98">
        <f t="shared" si="1"/>
        <v>-1</v>
      </c>
      <c r="K24" s="97">
        <f t="shared" si="2"/>
        <v>0</v>
      </c>
      <c r="L24" s="97">
        <f t="shared" si="3"/>
        <v>-51</v>
      </c>
      <c r="M24" s="98">
        <f>H24/H22</f>
        <v>0</v>
      </c>
      <c r="N24" s="97">
        <v>0</v>
      </c>
      <c r="O24" s="97">
        <v>0</v>
      </c>
      <c r="P24" s="97">
        <v>0</v>
      </c>
      <c r="Q24" s="97">
        <v>0</v>
      </c>
      <c r="R24" s="97">
        <v>0</v>
      </c>
      <c r="S24" s="98" t="str">
        <f t="shared" si="4"/>
        <v>-</v>
      </c>
      <c r="T24" s="98" t="str">
        <f t="shared" si="5"/>
        <v>-</v>
      </c>
      <c r="U24" s="97">
        <f t="shared" si="6"/>
        <v>0</v>
      </c>
      <c r="V24" s="97">
        <f t="shared" si="7"/>
        <v>0</v>
      </c>
      <c r="W24" s="98">
        <f>R24/R22</f>
        <v>0</v>
      </c>
    </row>
    <row r="25" spans="2:23" x14ac:dyDescent="0.25">
      <c r="B25" s="93" t="s">
        <v>49</v>
      </c>
      <c r="C25" s="101">
        <v>4070</v>
      </c>
      <c r="D25" s="101">
        <v>2900</v>
      </c>
      <c r="E25" s="101">
        <v>4012</v>
      </c>
      <c r="F25" s="101">
        <v>4562</v>
      </c>
      <c r="G25" s="101">
        <v>4395</v>
      </c>
      <c r="H25" s="101">
        <v>4427</v>
      </c>
      <c r="I25" s="102">
        <f t="shared" si="0"/>
        <v>7.2810011376565065E-3</v>
      </c>
      <c r="J25" s="102">
        <f t="shared" si="1"/>
        <v>0.52655172413793094</v>
      </c>
      <c r="K25" s="101">
        <f t="shared" si="2"/>
        <v>32</v>
      </c>
      <c r="L25" s="101">
        <f t="shared" si="3"/>
        <v>1527</v>
      </c>
      <c r="M25" s="95">
        <f>H25/H25</f>
        <v>1</v>
      </c>
      <c r="N25" s="101">
        <v>3652</v>
      </c>
      <c r="O25" s="101">
        <v>4562</v>
      </c>
      <c r="P25" s="101">
        <v>4276</v>
      </c>
      <c r="Q25" s="101">
        <v>4307</v>
      </c>
      <c r="R25" s="101">
        <v>4616</v>
      </c>
      <c r="S25" s="102">
        <f t="shared" si="4"/>
        <v>7.1743673090318039E-2</v>
      </c>
      <c r="T25" s="102">
        <f t="shared" si="5"/>
        <v>0.2639649507119386</v>
      </c>
      <c r="U25" s="101">
        <f t="shared" si="6"/>
        <v>309</v>
      </c>
      <c r="V25" s="101">
        <f t="shared" si="7"/>
        <v>964</v>
      </c>
      <c r="W25" s="95">
        <f>R25/R25</f>
        <v>1</v>
      </c>
    </row>
    <row r="26" spans="2:23" x14ac:dyDescent="0.25">
      <c r="B26" s="96" t="s">
        <v>62</v>
      </c>
      <c r="C26" s="97">
        <v>4004</v>
      </c>
      <c r="D26" s="97">
        <v>2534</v>
      </c>
      <c r="E26" s="97">
        <v>3312</v>
      </c>
      <c r="F26" s="97">
        <v>3862</v>
      </c>
      <c r="G26" s="97">
        <v>3695</v>
      </c>
      <c r="H26" s="97">
        <v>3727</v>
      </c>
      <c r="I26" s="98">
        <f t="shared" si="0"/>
        <v>8.6603518267929225E-3</v>
      </c>
      <c r="J26" s="98">
        <f t="shared" si="1"/>
        <v>0.47079715864246241</v>
      </c>
      <c r="K26" s="97">
        <f t="shared" si="2"/>
        <v>32</v>
      </c>
      <c r="L26" s="97">
        <f t="shared" si="3"/>
        <v>1193</v>
      </c>
      <c r="M26" s="98">
        <f>H26/H25</f>
        <v>0.8418793765529704</v>
      </c>
      <c r="N26" s="97">
        <v>2952</v>
      </c>
      <c r="O26" s="97">
        <v>3862</v>
      </c>
      <c r="P26" s="97">
        <v>3576</v>
      </c>
      <c r="Q26" s="97">
        <v>3607</v>
      </c>
      <c r="R26" s="97">
        <v>3916</v>
      </c>
      <c r="S26" s="98">
        <f t="shared" si="4"/>
        <v>8.5666759079567445E-2</v>
      </c>
      <c r="T26" s="98">
        <f t="shared" si="5"/>
        <v>0.32655826558265577</v>
      </c>
      <c r="U26" s="97">
        <f t="shared" si="6"/>
        <v>309</v>
      </c>
      <c r="V26" s="97">
        <f t="shared" si="7"/>
        <v>964</v>
      </c>
      <c r="W26" s="98">
        <f>R26/R25</f>
        <v>0.84835355285961866</v>
      </c>
    </row>
    <row r="27" spans="2:23" x14ac:dyDescent="0.25">
      <c r="B27" s="99" t="s">
        <v>63</v>
      </c>
      <c r="C27" s="53">
        <v>3576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0"/>
        <v>-</v>
      </c>
      <c r="J27" s="100" t="str">
        <f t="shared" si="1"/>
        <v>-</v>
      </c>
      <c r="K27" s="53">
        <f t="shared" si="2"/>
        <v>0</v>
      </c>
      <c r="L27" s="53">
        <f t="shared" si="3"/>
        <v>0</v>
      </c>
      <c r="M27" s="100">
        <f>H27/H25</f>
        <v>0</v>
      </c>
      <c r="N27" s="53">
        <v>2952</v>
      </c>
      <c r="O27" s="53">
        <v>0</v>
      </c>
      <c r="P27" s="53">
        <v>3576</v>
      </c>
      <c r="Q27" s="53">
        <v>0</v>
      </c>
      <c r="R27" s="53">
        <v>0</v>
      </c>
      <c r="S27" s="100" t="str">
        <f t="shared" si="4"/>
        <v>-</v>
      </c>
      <c r="T27" s="100">
        <f t="shared" si="5"/>
        <v>-1</v>
      </c>
      <c r="U27" s="53">
        <f t="shared" si="6"/>
        <v>0</v>
      </c>
      <c r="V27" s="53">
        <f t="shared" si="7"/>
        <v>-2952</v>
      </c>
      <c r="W27" s="100">
        <f>R27/R25</f>
        <v>0</v>
      </c>
    </row>
    <row r="28" spans="2:23" x14ac:dyDescent="0.25">
      <c r="B28" s="99" t="s">
        <v>64</v>
      </c>
      <c r="C28" s="53">
        <v>428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0"/>
        <v>-</v>
      </c>
      <c r="J28" s="100" t="str">
        <f t="shared" si="1"/>
        <v>-</v>
      </c>
      <c r="K28" s="53">
        <f t="shared" si="2"/>
        <v>0</v>
      </c>
      <c r="L28" s="53">
        <f t="shared" si="3"/>
        <v>0</v>
      </c>
      <c r="M28" s="100">
        <f>H28/H25</f>
        <v>0</v>
      </c>
      <c r="N28" s="53">
        <v>0</v>
      </c>
      <c r="O28" s="53">
        <v>0</v>
      </c>
      <c r="P28" s="53">
        <v>0</v>
      </c>
      <c r="Q28" s="53">
        <v>0</v>
      </c>
      <c r="R28" s="53">
        <v>0</v>
      </c>
      <c r="S28" s="100" t="str">
        <f t="shared" si="4"/>
        <v>-</v>
      </c>
      <c r="T28" s="100" t="str">
        <f t="shared" si="5"/>
        <v>-</v>
      </c>
      <c r="U28" s="53">
        <f t="shared" si="6"/>
        <v>0</v>
      </c>
      <c r="V28" s="53">
        <f t="shared" si="7"/>
        <v>0</v>
      </c>
      <c r="W28" s="100">
        <f>R28/R25</f>
        <v>0</v>
      </c>
    </row>
    <row r="29" spans="2:23" x14ac:dyDescent="0.25">
      <c r="B29" s="93" t="s">
        <v>50</v>
      </c>
      <c r="C29" s="101">
        <v>21340</v>
      </c>
      <c r="D29" s="101">
        <v>9244</v>
      </c>
      <c r="E29" s="101">
        <v>11050</v>
      </c>
      <c r="F29" s="101">
        <v>18364</v>
      </c>
      <c r="G29" s="101">
        <v>19209</v>
      </c>
      <c r="H29" s="101">
        <v>20011</v>
      </c>
      <c r="I29" s="102">
        <f t="shared" si="0"/>
        <v>4.175126242906968E-2</v>
      </c>
      <c r="J29" s="102">
        <f t="shared" si="1"/>
        <v>1.1647555170921677</v>
      </c>
      <c r="K29" s="101">
        <f t="shared" si="2"/>
        <v>802</v>
      </c>
      <c r="L29" s="101">
        <f t="shared" si="3"/>
        <v>10767</v>
      </c>
      <c r="M29" s="95">
        <f>H29/H29</f>
        <v>1</v>
      </c>
      <c r="N29" s="101">
        <v>9306</v>
      </c>
      <c r="O29" s="101">
        <v>18373</v>
      </c>
      <c r="P29" s="101">
        <v>18698</v>
      </c>
      <c r="Q29" s="101">
        <v>20140</v>
      </c>
      <c r="R29" s="101">
        <v>19634</v>
      </c>
      <c r="S29" s="102">
        <f t="shared" si="4"/>
        <v>-2.5124131082423062E-2</v>
      </c>
      <c r="T29" s="102">
        <f t="shared" si="5"/>
        <v>1.1098216204599183</v>
      </c>
      <c r="U29" s="101">
        <f t="shared" si="6"/>
        <v>-506</v>
      </c>
      <c r="V29" s="101">
        <f t="shared" si="7"/>
        <v>10328</v>
      </c>
      <c r="W29" s="95">
        <f>R29/R29</f>
        <v>1</v>
      </c>
    </row>
    <row r="30" spans="2:23" x14ac:dyDescent="0.25">
      <c r="B30" s="96" t="s">
        <v>62</v>
      </c>
      <c r="C30" s="97">
        <v>16096</v>
      </c>
      <c r="D30" s="97">
        <v>6499</v>
      </c>
      <c r="E30" s="97">
        <v>8111</v>
      </c>
      <c r="F30" s="97">
        <v>14162</v>
      </c>
      <c r="G30" s="97">
        <v>14862</v>
      </c>
      <c r="H30" s="97">
        <v>15621</v>
      </c>
      <c r="I30" s="98">
        <f t="shared" si="0"/>
        <v>5.106984255147351E-2</v>
      </c>
      <c r="J30" s="98">
        <f t="shared" si="1"/>
        <v>1.4036005539313741</v>
      </c>
      <c r="K30" s="97">
        <f t="shared" si="2"/>
        <v>759</v>
      </c>
      <c r="L30" s="97">
        <f t="shared" si="3"/>
        <v>9122</v>
      </c>
      <c r="M30" s="98">
        <f>H30/H29</f>
        <v>0.78062065863774921</v>
      </c>
      <c r="N30" s="97">
        <v>6478</v>
      </c>
      <c r="O30" s="97">
        <v>14288</v>
      </c>
      <c r="P30" s="97">
        <v>14351</v>
      </c>
      <c r="Q30" s="97">
        <v>15777</v>
      </c>
      <c r="R30" s="97">
        <v>15181</v>
      </c>
      <c r="S30" s="98">
        <f t="shared" si="4"/>
        <v>-3.7776510109653327E-2</v>
      </c>
      <c r="T30" s="98">
        <f t="shared" si="5"/>
        <v>1.3434702068539672</v>
      </c>
      <c r="U30" s="97">
        <f t="shared" si="6"/>
        <v>-596</v>
      </c>
      <c r="V30" s="97">
        <f t="shared" si="7"/>
        <v>8703</v>
      </c>
      <c r="W30" s="98">
        <f>R30/R29</f>
        <v>0.77319955179790156</v>
      </c>
    </row>
    <row r="31" spans="2:23" x14ac:dyDescent="0.25">
      <c r="B31" s="99" t="s">
        <v>63</v>
      </c>
      <c r="C31" s="53">
        <v>12913</v>
      </c>
      <c r="D31" s="53">
        <v>5381</v>
      </c>
      <c r="E31" s="53">
        <v>6550</v>
      </c>
      <c r="F31" s="53">
        <v>12095</v>
      </c>
      <c r="G31" s="53">
        <v>12793</v>
      </c>
      <c r="H31" s="53">
        <v>13518</v>
      </c>
      <c r="I31" s="100">
        <f t="shared" si="0"/>
        <v>5.66716172907058E-2</v>
      </c>
      <c r="J31" s="100">
        <f t="shared" si="1"/>
        <v>1.5121724586508085</v>
      </c>
      <c r="K31" s="53">
        <f t="shared" si="2"/>
        <v>725</v>
      </c>
      <c r="L31" s="53">
        <f t="shared" si="3"/>
        <v>8137</v>
      </c>
      <c r="M31" s="100">
        <f>H31/H29</f>
        <v>0.67552845934735894</v>
      </c>
      <c r="N31" s="53">
        <v>5214</v>
      </c>
      <c r="O31" s="53">
        <v>12383</v>
      </c>
      <c r="P31" s="53">
        <v>12252</v>
      </c>
      <c r="Q31" s="53">
        <v>13674</v>
      </c>
      <c r="R31" s="53">
        <v>13072</v>
      </c>
      <c r="S31" s="100">
        <f t="shared" si="4"/>
        <v>-4.4025157232704393E-2</v>
      </c>
      <c r="T31" s="100">
        <f t="shared" si="5"/>
        <v>1.5070962792481781</v>
      </c>
      <c r="U31" s="53">
        <f t="shared" si="6"/>
        <v>-602</v>
      </c>
      <c r="V31" s="53">
        <f t="shared" si="7"/>
        <v>7858</v>
      </c>
      <c r="W31" s="100">
        <f>R31/R29</f>
        <v>0.66578384435163496</v>
      </c>
    </row>
    <row r="32" spans="2:23" x14ac:dyDescent="0.25">
      <c r="B32" s="99" t="s">
        <v>64</v>
      </c>
      <c r="C32" s="53">
        <v>3183</v>
      </c>
      <c r="D32" s="53">
        <v>1118</v>
      </c>
      <c r="E32" s="53">
        <v>1561</v>
      </c>
      <c r="F32" s="53">
        <v>2067</v>
      </c>
      <c r="G32" s="53">
        <v>2069</v>
      </c>
      <c r="H32" s="53">
        <v>2103</v>
      </c>
      <c r="I32" s="100">
        <f t="shared" si="0"/>
        <v>1.6433059449009191E-2</v>
      </c>
      <c r="J32" s="100">
        <f t="shared" si="1"/>
        <v>0.88103756708407865</v>
      </c>
      <c r="K32" s="53">
        <f t="shared" si="2"/>
        <v>34</v>
      </c>
      <c r="L32" s="53">
        <f t="shared" si="3"/>
        <v>985</v>
      </c>
      <c r="M32" s="100">
        <f>H32/H29</f>
        <v>0.10509219929039028</v>
      </c>
      <c r="N32" s="53">
        <v>1264</v>
      </c>
      <c r="O32" s="53">
        <v>1905</v>
      </c>
      <c r="P32" s="53">
        <v>2099</v>
      </c>
      <c r="Q32" s="53">
        <v>2103</v>
      </c>
      <c r="R32" s="53">
        <v>2109</v>
      </c>
      <c r="S32" s="100">
        <f t="shared" si="4"/>
        <v>2.8530670470756636E-3</v>
      </c>
      <c r="T32" s="100">
        <f t="shared" si="5"/>
        <v>0.668512658227848</v>
      </c>
      <c r="U32" s="53">
        <f t="shared" si="6"/>
        <v>6</v>
      </c>
      <c r="V32" s="53">
        <f t="shared" si="7"/>
        <v>845</v>
      </c>
      <c r="W32" s="100">
        <f>R32/R29</f>
        <v>0.10741570744626668</v>
      </c>
    </row>
    <row r="33" spans="2:23" x14ac:dyDescent="0.25">
      <c r="B33" s="96" t="s">
        <v>65</v>
      </c>
      <c r="C33" s="97">
        <v>5245</v>
      </c>
      <c r="D33" s="97">
        <v>2745</v>
      </c>
      <c r="E33" s="97">
        <v>2940</v>
      </c>
      <c r="F33" s="97">
        <v>4202</v>
      </c>
      <c r="G33" s="97">
        <v>4347</v>
      </c>
      <c r="H33" s="97">
        <v>4390</v>
      </c>
      <c r="I33" s="98">
        <f t="shared" si="0"/>
        <v>9.8918794570967972E-3</v>
      </c>
      <c r="J33" s="98">
        <f t="shared" si="1"/>
        <v>0.59927140255009115</v>
      </c>
      <c r="K33" s="97">
        <f t="shared" si="2"/>
        <v>43</v>
      </c>
      <c r="L33" s="97">
        <f t="shared" si="3"/>
        <v>1645</v>
      </c>
      <c r="M33" s="98">
        <f>H33/H29</f>
        <v>0.21937934136225076</v>
      </c>
      <c r="N33" s="97">
        <v>2828</v>
      </c>
      <c r="O33" s="97">
        <v>4085</v>
      </c>
      <c r="P33" s="97">
        <v>4347</v>
      </c>
      <c r="Q33" s="97">
        <v>4363</v>
      </c>
      <c r="R33" s="97">
        <v>4453</v>
      </c>
      <c r="S33" s="98">
        <f t="shared" si="4"/>
        <v>2.0628008251203367E-2</v>
      </c>
      <c r="T33" s="98">
        <f t="shared" si="5"/>
        <v>0.57461103253182455</v>
      </c>
      <c r="U33" s="97">
        <f t="shared" si="6"/>
        <v>90</v>
      </c>
      <c r="V33" s="97">
        <f t="shared" si="7"/>
        <v>1625</v>
      </c>
      <c r="W33" s="98">
        <f>R33/R29</f>
        <v>0.22680044820209841</v>
      </c>
    </row>
    <row r="34" spans="2:23" x14ac:dyDescent="0.25">
      <c r="B34" s="93" t="s">
        <v>51</v>
      </c>
      <c r="C34" s="101">
        <v>713</v>
      </c>
      <c r="D34" s="101">
        <v>339</v>
      </c>
      <c r="E34" s="101">
        <v>532</v>
      </c>
      <c r="F34" s="101">
        <v>654</v>
      </c>
      <c r="G34" s="101">
        <v>663</v>
      </c>
      <c r="H34" s="101">
        <v>673</v>
      </c>
      <c r="I34" s="102">
        <f t="shared" si="0"/>
        <v>1.5082956259426794E-2</v>
      </c>
      <c r="J34" s="102">
        <f t="shared" si="1"/>
        <v>0.98525073746312675</v>
      </c>
      <c r="K34" s="101">
        <f t="shared" si="2"/>
        <v>10</v>
      </c>
      <c r="L34" s="101">
        <f t="shared" si="3"/>
        <v>334</v>
      </c>
      <c r="M34" s="95">
        <f>H34/H34</f>
        <v>1</v>
      </c>
      <c r="N34" s="101">
        <v>465</v>
      </c>
      <c r="O34" s="101">
        <v>663</v>
      </c>
      <c r="P34" s="101">
        <v>663</v>
      </c>
      <c r="Q34" s="101">
        <v>673</v>
      </c>
      <c r="R34" s="101">
        <v>673</v>
      </c>
      <c r="S34" s="102">
        <f t="shared" si="4"/>
        <v>0</v>
      </c>
      <c r="T34" s="102">
        <f t="shared" si="5"/>
        <v>0.44731182795698921</v>
      </c>
      <c r="U34" s="101">
        <f t="shared" si="6"/>
        <v>0</v>
      </c>
      <c r="V34" s="101">
        <f t="shared" si="7"/>
        <v>208</v>
      </c>
      <c r="W34" s="95">
        <f>R34/R34</f>
        <v>1</v>
      </c>
    </row>
    <row r="35" spans="2:23" x14ac:dyDescent="0.25">
      <c r="B35" s="96" t="s">
        <v>62</v>
      </c>
      <c r="C35" s="97">
        <v>713</v>
      </c>
      <c r="D35" s="97">
        <v>339</v>
      </c>
      <c r="E35" s="97">
        <v>532</v>
      </c>
      <c r="F35" s="97">
        <v>654</v>
      </c>
      <c r="G35" s="97">
        <v>663</v>
      </c>
      <c r="H35" s="97">
        <v>673</v>
      </c>
      <c r="I35" s="98">
        <f t="shared" si="0"/>
        <v>1.5082956259426794E-2</v>
      </c>
      <c r="J35" s="98">
        <f t="shared" si="1"/>
        <v>0.98525073746312675</v>
      </c>
      <c r="K35" s="97">
        <f t="shared" si="2"/>
        <v>10</v>
      </c>
      <c r="L35" s="97">
        <f t="shared" si="3"/>
        <v>334</v>
      </c>
      <c r="M35" s="98">
        <f>H35/H34</f>
        <v>1</v>
      </c>
      <c r="N35" s="97">
        <v>465</v>
      </c>
      <c r="O35" s="97">
        <v>663</v>
      </c>
      <c r="P35" s="97">
        <v>663</v>
      </c>
      <c r="Q35" s="97">
        <v>673</v>
      </c>
      <c r="R35" s="97">
        <v>673</v>
      </c>
      <c r="S35" s="98">
        <f t="shared" si="4"/>
        <v>0</v>
      </c>
      <c r="T35" s="98">
        <f t="shared" si="5"/>
        <v>0.44731182795698921</v>
      </c>
      <c r="U35" s="97">
        <f t="shared" si="6"/>
        <v>0</v>
      </c>
      <c r="V35" s="97">
        <f t="shared" si="7"/>
        <v>208</v>
      </c>
      <c r="W35" s="98">
        <f>R35/R34</f>
        <v>1</v>
      </c>
    </row>
    <row r="36" spans="2:23" x14ac:dyDescent="0.25">
      <c r="B36" s="93" t="s">
        <v>52</v>
      </c>
      <c r="C36" s="101">
        <v>4124</v>
      </c>
      <c r="D36" s="101">
        <v>2132</v>
      </c>
      <c r="E36" s="101">
        <v>2908</v>
      </c>
      <c r="F36" s="101">
        <v>4497</v>
      </c>
      <c r="G36" s="101">
        <v>4790</v>
      </c>
      <c r="H36" s="101">
        <v>4797</v>
      </c>
      <c r="I36" s="102">
        <f t="shared" si="0"/>
        <v>1.4613778705636626E-3</v>
      </c>
      <c r="J36" s="102">
        <f t="shared" si="1"/>
        <v>1.25</v>
      </c>
      <c r="K36" s="101">
        <f t="shared" si="2"/>
        <v>7</v>
      </c>
      <c r="L36" s="101">
        <f t="shared" si="3"/>
        <v>2665</v>
      </c>
      <c r="M36" s="102">
        <f>H36/H36</f>
        <v>1</v>
      </c>
      <c r="N36" s="101">
        <v>2934</v>
      </c>
      <c r="O36" s="101">
        <v>4097</v>
      </c>
      <c r="P36" s="101">
        <v>4791</v>
      </c>
      <c r="Q36" s="101">
        <v>4797</v>
      </c>
      <c r="R36" s="101">
        <v>4605</v>
      </c>
      <c r="S36" s="102">
        <f t="shared" si="4"/>
        <v>-4.0025015634771788E-2</v>
      </c>
      <c r="T36" s="102">
        <f t="shared" si="5"/>
        <v>0.56952965235173814</v>
      </c>
      <c r="U36" s="101">
        <f t="shared" si="6"/>
        <v>-192</v>
      </c>
      <c r="V36" s="101">
        <f t="shared" si="7"/>
        <v>1671</v>
      </c>
      <c r="W36" s="102">
        <f>R36/R36</f>
        <v>1</v>
      </c>
    </row>
    <row r="37" spans="2:23" x14ac:dyDescent="0.25">
      <c r="B37" s="96" t="s">
        <v>62</v>
      </c>
      <c r="C37" s="97">
        <v>1801</v>
      </c>
      <c r="D37" s="97">
        <v>1559</v>
      </c>
      <c r="E37" s="97">
        <v>2545</v>
      </c>
      <c r="F37" s="97">
        <v>3640</v>
      </c>
      <c r="G37" s="97">
        <v>3915</v>
      </c>
      <c r="H37" s="97">
        <v>3915</v>
      </c>
      <c r="I37" s="98">
        <f t="shared" si="0"/>
        <v>0</v>
      </c>
      <c r="J37" s="98">
        <f t="shared" si="1"/>
        <v>1.511225144323284</v>
      </c>
      <c r="K37" s="97">
        <f t="shared" si="2"/>
        <v>0</v>
      </c>
      <c r="L37" s="97">
        <f t="shared" si="3"/>
        <v>2356</v>
      </c>
      <c r="M37" s="98">
        <f>H37/H36</f>
        <v>0.81613508442776739</v>
      </c>
      <c r="N37" s="97">
        <v>2672</v>
      </c>
      <c r="O37" s="97">
        <v>3253</v>
      </c>
      <c r="P37" s="97">
        <v>3915</v>
      </c>
      <c r="Q37" s="97">
        <v>3915</v>
      </c>
      <c r="R37" s="97">
        <v>3723</v>
      </c>
      <c r="S37" s="98">
        <f t="shared" si="4"/>
        <v>-4.9042145593869768E-2</v>
      </c>
      <c r="T37" s="98">
        <f t="shared" si="5"/>
        <v>0.39333832335329344</v>
      </c>
      <c r="U37" s="97">
        <f t="shared" si="6"/>
        <v>-192</v>
      </c>
      <c r="V37" s="97">
        <f t="shared" si="7"/>
        <v>1051</v>
      </c>
      <c r="W37" s="98">
        <f>R37/R36</f>
        <v>0.80846905537459279</v>
      </c>
    </row>
    <row r="38" spans="2:23" x14ac:dyDescent="0.25">
      <c r="B38" s="96" t="s">
        <v>65</v>
      </c>
      <c r="C38" s="97">
        <v>2323</v>
      </c>
      <c r="D38" s="97">
        <v>573</v>
      </c>
      <c r="E38" s="97">
        <v>363</v>
      </c>
      <c r="F38" s="97">
        <v>857</v>
      </c>
      <c r="G38" s="97">
        <v>875</v>
      </c>
      <c r="H38" s="97">
        <v>882</v>
      </c>
      <c r="I38" s="98">
        <f t="shared" si="0"/>
        <v>8.0000000000000071E-3</v>
      </c>
      <c r="J38" s="98">
        <f t="shared" si="1"/>
        <v>0.53926701570680624</v>
      </c>
      <c r="K38" s="97">
        <f t="shared" si="2"/>
        <v>7</v>
      </c>
      <c r="L38" s="97">
        <f t="shared" si="3"/>
        <v>309</v>
      </c>
      <c r="M38" s="98">
        <f>H38/H36</f>
        <v>0.18386491557223264</v>
      </c>
      <c r="N38" s="97">
        <v>262</v>
      </c>
      <c r="O38" s="97">
        <v>844</v>
      </c>
      <c r="P38" s="97">
        <v>876</v>
      </c>
      <c r="Q38" s="97">
        <v>882</v>
      </c>
      <c r="R38" s="97">
        <v>882</v>
      </c>
      <c r="S38" s="98">
        <f t="shared" si="4"/>
        <v>0</v>
      </c>
      <c r="T38" s="98">
        <f t="shared" si="5"/>
        <v>2.3664122137404582</v>
      </c>
      <c r="U38" s="97">
        <f t="shared" si="6"/>
        <v>0</v>
      </c>
      <c r="V38" s="97">
        <f t="shared" si="7"/>
        <v>620</v>
      </c>
      <c r="W38" s="98">
        <f>R38/R36</f>
        <v>0.19153094462540718</v>
      </c>
    </row>
    <row r="39" spans="2:23" x14ac:dyDescent="0.25">
      <c r="B39" s="93" t="s">
        <v>53</v>
      </c>
      <c r="C39" s="101">
        <v>2690</v>
      </c>
      <c r="D39" s="101">
        <v>1526</v>
      </c>
      <c r="E39" s="101">
        <v>2270</v>
      </c>
      <c r="F39" s="101">
        <v>2680</v>
      </c>
      <c r="G39" s="101">
        <v>2774</v>
      </c>
      <c r="H39" s="101">
        <v>2714</v>
      </c>
      <c r="I39" s="102">
        <f t="shared" si="0"/>
        <v>-2.1629416005767843E-2</v>
      </c>
      <c r="J39" s="102">
        <f t="shared" si="1"/>
        <v>0.77850589777195278</v>
      </c>
      <c r="K39" s="101">
        <f t="shared" si="2"/>
        <v>-60</v>
      </c>
      <c r="L39" s="101">
        <f t="shared" si="3"/>
        <v>1188</v>
      </c>
      <c r="M39" s="95">
        <f>H39/H39</f>
        <v>1</v>
      </c>
      <c r="N39" s="101">
        <v>2378</v>
      </c>
      <c r="O39" s="101">
        <v>2710</v>
      </c>
      <c r="P39" s="101">
        <v>2739</v>
      </c>
      <c r="Q39" s="101">
        <v>2773</v>
      </c>
      <c r="R39" s="101">
        <v>2679</v>
      </c>
      <c r="S39" s="102">
        <f t="shared" si="4"/>
        <v>-3.3898305084745783E-2</v>
      </c>
      <c r="T39" s="102">
        <f t="shared" si="5"/>
        <v>0.12657695542472669</v>
      </c>
      <c r="U39" s="101">
        <f t="shared" si="6"/>
        <v>-94</v>
      </c>
      <c r="V39" s="101">
        <f t="shared" si="7"/>
        <v>301</v>
      </c>
      <c r="W39" s="95">
        <f>R39/R39</f>
        <v>1</v>
      </c>
    </row>
    <row r="40" spans="2:23" x14ac:dyDescent="0.25">
      <c r="B40" s="96" t="s">
        <v>62</v>
      </c>
      <c r="C40" s="97">
        <v>2690</v>
      </c>
      <c r="D40" s="97">
        <v>1526</v>
      </c>
      <c r="E40" s="97">
        <v>2270</v>
      </c>
      <c r="F40" s="97">
        <v>2680</v>
      </c>
      <c r="G40" s="97">
        <v>2774</v>
      </c>
      <c r="H40" s="97">
        <v>2714</v>
      </c>
      <c r="I40" s="98">
        <f t="shared" si="0"/>
        <v>-2.1629416005767843E-2</v>
      </c>
      <c r="J40" s="98">
        <f t="shared" si="1"/>
        <v>0.77850589777195278</v>
      </c>
      <c r="K40" s="97">
        <f t="shared" si="2"/>
        <v>-60</v>
      </c>
      <c r="L40" s="97">
        <f t="shared" si="3"/>
        <v>1188</v>
      </c>
      <c r="M40" s="98">
        <f>H40/H39</f>
        <v>1</v>
      </c>
      <c r="N40" s="97">
        <v>2378</v>
      </c>
      <c r="O40" s="97">
        <v>2710</v>
      </c>
      <c r="P40" s="97">
        <v>2739</v>
      </c>
      <c r="Q40" s="97">
        <v>2773</v>
      </c>
      <c r="R40" s="97">
        <v>2679</v>
      </c>
      <c r="S40" s="98">
        <f t="shared" si="4"/>
        <v>-3.3898305084745783E-2</v>
      </c>
      <c r="T40" s="98">
        <f t="shared" si="5"/>
        <v>0.12657695542472669</v>
      </c>
      <c r="U40" s="97">
        <f t="shared" si="6"/>
        <v>-94</v>
      </c>
      <c r="V40" s="97">
        <f t="shared" si="7"/>
        <v>301</v>
      </c>
      <c r="W40" s="98">
        <f>R40/R39</f>
        <v>1</v>
      </c>
    </row>
    <row r="41" spans="2:23" x14ac:dyDescent="0.25">
      <c r="B41" s="99" t="s">
        <v>63</v>
      </c>
      <c r="C41" s="53">
        <v>1381</v>
      </c>
      <c r="D41" s="53">
        <v>846</v>
      </c>
      <c r="E41" s="53">
        <v>1514</v>
      </c>
      <c r="F41" s="53">
        <v>1660</v>
      </c>
      <c r="G41" s="53">
        <v>1674</v>
      </c>
      <c r="H41" s="53">
        <v>1711</v>
      </c>
      <c r="I41" s="100">
        <f t="shared" si="0"/>
        <v>2.2102747909199527E-2</v>
      </c>
      <c r="J41" s="100">
        <f t="shared" si="1"/>
        <v>1.0224586288416075</v>
      </c>
      <c r="K41" s="53">
        <f t="shared" si="2"/>
        <v>37</v>
      </c>
      <c r="L41" s="53">
        <f t="shared" si="3"/>
        <v>865</v>
      </c>
      <c r="M41" s="100">
        <f>H41/H39</f>
        <v>0.63043478260869568</v>
      </c>
      <c r="N41" s="53">
        <v>1658</v>
      </c>
      <c r="O41" s="53">
        <v>1674</v>
      </c>
      <c r="P41" s="53">
        <v>1674</v>
      </c>
      <c r="Q41" s="53">
        <v>1681</v>
      </c>
      <c r="R41" s="53">
        <v>1847</v>
      </c>
      <c r="S41" s="100">
        <f t="shared" si="4"/>
        <v>9.8750743604997027E-2</v>
      </c>
      <c r="T41" s="100">
        <f t="shared" si="5"/>
        <v>0.11399276236429423</v>
      </c>
      <c r="U41" s="53">
        <f t="shared" si="6"/>
        <v>166</v>
      </c>
      <c r="V41" s="53">
        <f t="shared" si="7"/>
        <v>189</v>
      </c>
      <c r="W41" s="100">
        <f>R41/R39</f>
        <v>0.68943635684957072</v>
      </c>
    </row>
    <row r="42" spans="2:23" x14ac:dyDescent="0.25">
      <c r="B42" s="99" t="s">
        <v>64</v>
      </c>
      <c r="C42" s="53">
        <v>1309</v>
      </c>
      <c r="D42" s="53">
        <v>680</v>
      </c>
      <c r="E42" s="53">
        <v>756</v>
      </c>
      <c r="F42" s="53">
        <v>1020</v>
      </c>
      <c r="G42" s="53">
        <v>1100</v>
      </c>
      <c r="H42" s="53">
        <v>1003</v>
      </c>
      <c r="I42" s="100">
        <f t="shared" si="0"/>
        <v>-8.8181818181818139E-2</v>
      </c>
      <c r="J42" s="100">
        <f t="shared" si="1"/>
        <v>0.47500000000000009</v>
      </c>
      <c r="K42" s="53">
        <f t="shared" si="2"/>
        <v>-97</v>
      </c>
      <c r="L42" s="53">
        <f t="shared" si="3"/>
        <v>323</v>
      </c>
      <c r="M42" s="100">
        <f>H42/H39</f>
        <v>0.36956521739130432</v>
      </c>
      <c r="N42" s="53">
        <v>720</v>
      </c>
      <c r="O42" s="53">
        <v>1036</v>
      </c>
      <c r="P42" s="53">
        <v>1065</v>
      </c>
      <c r="Q42" s="53">
        <v>1092</v>
      </c>
      <c r="R42" s="53">
        <v>832</v>
      </c>
      <c r="S42" s="100">
        <f t="shared" si="4"/>
        <v>-0.23809523809523814</v>
      </c>
      <c r="T42" s="100">
        <f t="shared" si="5"/>
        <v>0.15555555555555545</v>
      </c>
      <c r="U42" s="53">
        <f t="shared" si="6"/>
        <v>-260</v>
      </c>
      <c r="V42" s="53">
        <f t="shared" si="7"/>
        <v>112</v>
      </c>
      <c r="W42" s="100">
        <f>R42/R39</f>
        <v>0.31056364315042928</v>
      </c>
    </row>
    <row r="43" spans="2:23" x14ac:dyDescent="0.25">
      <c r="B43" s="93" t="s">
        <v>54</v>
      </c>
      <c r="C43" s="101">
        <v>6890</v>
      </c>
      <c r="D43" s="101">
        <v>3786</v>
      </c>
      <c r="E43" s="101">
        <v>4393</v>
      </c>
      <c r="F43" s="101">
        <v>6413</v>
      </c>
      <c r="G43" s="101">
        <v>6356</v>
      </c>
      <c r="H43" s="101">
        <v>6429</v>
      </c>
      <c r="I43" s="102">
        <f t="shared" si="0"/>
        <v>1.1485210824417891E-2</v>
      </c>
      <c r="J43" s="102">
        <f t="shared" si="1"/>
        <v>0.69809825673534065</v>
      </c>
      <c r="K43" s="101">
        <f t="shared" si="2"/>
        <v>73</v>
      </c>
      <c r="L43" s="101">
        <f t="shared" si="3"/>
        <v>2643</v>
      </c>
      <c r="M43" s="95">
        <f>H43/H43</f>
        <v>1</v>
      </c>
      <c r="N43" s="101">
        <v>3065</v>
      </c>
      <c r="O43" s="101">
        <v>6412</v>
      </c>
      <c r="P43" s="101">
        <v>6177</v>
      </c>
      <c r="Q43" s="101">
        <v>6415</v>
      </c>
      <c r="R43" s="101">
        <v>6497</v>
      </c>
      <c r="S43" s="102">
        <f t="shared" si="4"/>
        <v>1.278254091971931E-2</v>
      </c>
      <c r="T43" s="102">
        <f t="shared" si="5"/>
        <v>1.1197389885807505</v>
      </c>
      <c r="U43" s="101">
        <f t="shared" si="6"/>
        <v>82</v>
      </c>
      <c r="V43" s="101">
        <f t="shared" si="7"/>
        <v>3432</v>
      </c>
      <c r="W43" s="95">
        <f>R43/R43</f>
        <v>1</v>
      </c>
    </row>
    <row r="44" spans="2:23" x14ac:dyDescent="0.25">
      <c r="B44" s="96" t="s">
        <v>62</v>
      </c>
      <c r="C44" s="97">
        <v>4440</v>
      </c>
      <c r="D44" s="97">
        <v>2472</v>
      </c>
      <c r="E44" s="97">
        <v>2822</v>
      </c>
      <c r="F44" s="97">
        <v>4753</v>
      </c>
      <c r="G44" s="97">
        <v>4696</v>
      </c>
      <c r="H44" s="97">
        <v>4755</v>
      </c>
      <c r="I44" s="98">
        <f t="shared" si="0"/>
        <v>1.2563884156729044E-2</v>
      </c>
      <c r="J44" s="98">
        <f t="shared" si="1"/>
        <v>0.92354368932038833</v>
      </c>
      <c r="K44" s="97">
        <f t="shared" si="2"/>
        <v>59</v>
      </c>
      <c r="L44" s="97">
        <f t="shared" si="3"/>
        <v>2283</v>
      </c>
      <c r="M44" s="98">
        <f>H44/H43</f>
        <v>0.73961735884274382</v>
      </c>
      <c r="N44" s="97">
        <v>1583</v>
      </c>
      <c r="O44" s="97">
        <v>4752</v>
      </c>
      <c r="P44" s="97">
        <v>4517</v>
      </c>
      <c r="Q44" s="97">
        <v>4755</v>
      </c>
      <c r="R44" s="97">
        <v>4755</v>
      </c>
      <c r="S44" s="98">
        <f t="shared" si="4"/>
        <v>0</v>
      </c>
      <c r="T44" s="98">
        <f t="shared" si="5"/>
        <v>2.003790271636134</v>
      </c>
      <c r="U44" s="97">
        <f t="shared" si="6"/>
        <v>0</v>
      </c>
      <c r="V44" s="97">
        <f t="shared" si="7"/>
        <v>3172</v>
      </c>
      <c r="W44" s="98">
        <f>R44/R43</f>
        <v>0.73187625057718952</v>
      </c>
    </row>
    <row r="45" spans="2:23" x14ac:dyDescent="0.25">
      <c r="B45" s="99" t="s">
        <v>63</v>
      </c>
      <c r="C45" s="53">
        <v>3379</v>
      </c>
      <c r="D45" s="53">
        <v>0</v>
      </c>
      <c r="E45" s="53">
        <v>2173</v>
      </c>
      <c r="F45" s="53">
        <v>3692</v>
      </c>
      <c r="G45" s="53">
        <v>3635</v>
      </c>
      <c r="H45" s="53">
        <v>3694</v>
      </c>
      <c r="I45" s="100">
        <f t="shared" si="0"/>
        <v>1.6231086657496618E-2</v>
      </c>
      <c r="J45" s="100" t="str">
        <f t="shared" si="1"/>
        <v>-</v>
      </c>
      <c r="K45" s="53">
        <f t="shared" si="2"/>
        <v>59</v>
      </c>
      <c r="L45" s="53">
        <f t="shared" si="3"/>
        <v>3694</v>
      </c>
      <c r="M45" s="100">
        <f>H45/H43</f>
        <v>0.57458391662778041</v>
      </c>
      <c r="N45" s="53">
        <v>0</v>
      </c>
      <c r="O45" s="53">
        <v>3691</v>
      </c>
      <c r="P45" s="53">
        <v>3456</v>
      </c>
      <c r="Q45" s="53">
        <v>3694</v>
      </c>
      <c r="R45" s="53">
        <v>3694</v>
      </c>
      <c r="S45" s="100">
        <f t="shared" si="4"/>
        <v>0</v>
      </c>
      <c r="T45" s="100" t="str">
        <f t="shared" si="5"/>
        <v>-</v>
      </c>
      <c r="U45" s="53">
        <f t="shared" si="6"/>
        <v>0</v>
      </c>
      <c r="V45" s="53">
        <f t="shared" si="7"/>
        <v>3694</v>
      </c>
      <c r="W45" s="100">
        <f>R45/R43</f>
        <v>0.56857010928120666</v>
      </c>
    </row>
    <row r="46" spans="2:23" x14ac:dyDescent="0.25">
      <c r="B46" s="99" t="s">
        <v>64</v>
      </c>
      <c r="C46" s="53">
        <v>1061</v>
      </c>
      <c r="D46" s="53">
        <v>0</v>
      </c>
      <c r="E46" s="53">
        <v>649</v>
      </c>
      <c r="F46" s="53">
        <v>1061</v>
      </c>
      <c r="G46" s="53">
        <v>1061</v>
      </c>
      <c r="H46" s="53">
        <v>1061</v>
      </c>
      <c r="I46" s="100">
        <f t="shared" si="0"/>
        <v>0</v>
      </c>
      <c r="J46" s="100" t="str">
        <f t="shared" si="1"/>
        <v>-</v>
      </c>
      <c r="K46" s="53">
        <f t="shared" si="2"/>
        <v>0</v>
      </c>
      <c r="L46" s="53">
        <f t="shared" si="3"/>
        <v>1061</v>
      </c>
      <c r="M46" s="100">
        <f>H46/H43</f>
        <v>0.16503344221496344</v>
      </c>
      <c r="N46" s="53">
        <v>0</v>
      </c>
      <c r="O46" s="53">
        <v>1061</v>
      </c>
      <c r="P46" s="53">
        <v>1061</v>
      </c>
      <c r="Q46" s="53">
        <v>1061</v>
      </c>
      <c r="R46" s="53">
        <v>1061</v>
      </c>
      <c r="S46" s="100">
        <f t="shared" si="4"/>
        <v>0</v>
      </c>
      <c r="T46" s="100" t="str">
        <f t="shared" si="5"/>
        <v>-</v>
      </c>
      <c r="U46" s="53">
        <f t="shared" si="6"/>
        <v>0</v>
      </c>
      <c r="V46" s="53">
        <f t="shared" si="7"/>
        <v>1061</v>
      </c>
      <c r="W46" s="100">
        <f>R46/R43</f>
        <v>0.16330614129598275</v>
      </c>
    </row>
    <row r="47" spans="2:23" x14ac:dyDescent="0.25">
      <c r="B47" s="96" t="s">
        <v>65</v>
      </c>
      <c r="C47" s="97">
        <v>2450</v>
      </c>
      <c r="D47" s="97">
        <v>1314</v>
      </c>
      <c r="E47" s="97">
        <v>1571</v>
      </c>
      <c r="F47" s="97">
        <v>1660</v>
      </c>
      <c r="G47" s="97">
        <v>1660</v>
      </c>
      <c r="H47" s="97">
        <v>1674</v>
      </c>
      <c r="I47" s="98">
        <f t="shared" si="0"/>
        <v>8.4337349397589634E-3</v>
      </c>
      <c r="J47" s="98">
        <f t="shared" si="1"/>
        <v>0.27397260273972601</v>
      </c>
      <c r="K47" s="97">
        <f t="shared" si="2"/>
        <v>14</v>
      </c>
      <c r="L47" s="97">
        <f t="shared" si="3"/>
        <v>360</v>
      </c>
      <c r="M47" s="98">
        <f>H47/H43</f>
        <v>0.26038264115725618</v>
      </c>
      <c r="N47" s="97">
        <v>1482</v>
      </c>
      <c r="O47" s="97">
        <v>1660</v>
      </c>
      <c r="P47" s="97">
        <v>1660</v>
      </c>
      <c r="Q47" s="97">
        <v>1660</v>
      </c>
      <c r="R47" s="97">
        <v>1742</v>
      </c>
      <c r="S47" s="98">
        <f t="shared" si="4"/>
        <v>4.9397590361445864E-2</v>
      </c>
      <c r="T47" s="98">
        <f t="shared" si="5"/>
        <v>0.17543859649122817</v>
      </c>
      <c r="U47" s="97">
        <f t="shared" si="6"/>
        <v>82</v>
      </c>
      <c r="V47" s="97">
        <f t="shared" si="7"/>
        <v>260</v>
      </c>
      <c r="W47" s="98">
        <f>R47/R43</f>
        <v>0.26812374942281053</v>
      </c>
    </row>
    <row r="48" spans="2:23" x14ac:dyDescent="0.25">
      <c r="B48" s="93" t="s">
        <v>55</v>
      </c>
      <c r="C48" s="101">
        <v>3382</v>
      </c>
      <c r="D48" s="101">
        <v>2158</v>
      </c>
      <c r="E48" s="101">
        <v>2862</v>
      </c>
      <c r="F48" s="101">
        <v>3212</v>
      </c>
      <c r="G48" s="101">
        <v>3072</v>
      </c>
      <c r="H48" s="101">
        <v>3096</v>
      </c>
      <c r="I48" s="102">
        <f t="shared" si="0"/>
        <v>7.8125E-3</v>
      </c>
      <c r="J48" s="102">
        <f t="shared" si="1"/>
        <v>0.43466172381835033</v>
      </c>
      <c r="K48" s="101">
        <f t="shared" si="2"/>
        <v>24</v>
      </c>
      <c r="L48" s="101">
        <f t="shared" si="3"/>
        <v>938</v>
      </c>
      <c r="M48" s="95">
        <f>H48/H48</f>
        <v>1</v>
      </c>
      <c r="N48" s="101">
        <v>2781</v>
      </c>
      <c r="O48" s="101">
        <v>3075</v>
      </c>
      <c r="P48" s="101">
        <v>3041</v>
      </c>
      <c r="Q48" s="101">
        <v>3085</v>
      </c>
      <c r="R48" s="101">
        <v>3113</v>
      </c>
      <c r="S48" s="102">
        <f t="shared" si="4"/>
        <v>9.0761750405186081E-3</v>
      </c>
      <c r="T48" s="102">
        <f t="shared" si="5"/>
        <v>0.11938151743976988</v>
      </c>
      <c r="U48" s="101">
        <f t="shared" si="6"/>
        <v>28</v>
      </c>
      <c r="V48" s="101">
        <f t="shared" si="7"/>
        <v>332</v>
      </c>
      <c r="W48" s="95">
        <f>R48/R48</f>
        <v>1</v>
      </c>
    </row>
    <row r="49" spans="2:23" x14ac:dyDescent="0.25">
      <c r="B49" s="96" t="s">
        <v>62</v>
      </c>
      <c r="C49" s="97">
        <v>3115</v>
      </c>
      <c r="D49" s="97">
        <v>2065</v>
      </c>
      <c r="E49" s="97">
        <v>2789</v>
      </c>
      <c r="F49" s="97">
        <v>3008</v>
      </c>
      <c r="G49" s="97">
        <v>2663</v>
      </c>
      <c r="H49" s="97">
        <v>2710</v>
      </c>
      <c r="I49" s="98">
        <f t="shared" si="0"/>
        <v>1.764926774314679E-2</v>
      </c>
      <c r="J49" s="98">
        <f t="shared" si="1"/>
        <v>0.3123486682808716</v>
      </c>
      <c r="K49" s="97">
        <f t="shared" si="2"/>
        <v>47</v>
      </c>
      <c r="L49" s="97">
        <f t="shared" si="3"/>
        <v>645</v>
      </c>
      <c r="M49" s="98">
        <f>H49/H48</f>
        <v>0.87532299741602071</v>
      </c>
      <c r="N49" s="97">
        <v>2751</v>
      </c>
      <c r="O49" s="97">
        <v>2871</v>
      </c>
      <c r="P49" s="97">
        <v>2627</v>
      </c>
      <c r="Q49" s="97">
        <v>2697</v>
      </c>
      <c r="R49" s="97">
        <v>2725</v>
      </c>
      <c r="S49" s="98">
        <f t="shared" si="4"/>
        <v>1.0381905821282844E-2</v>
      </c>
      <c r="T49" s="98">
        <f t="shared" si="5"/>
        <v>-9.4511086877498984E-3</v>
      </c>
      <c r="U49" s="97">
        <f t="shared" si="6"/>
        <v>28</v>
      </c>
      <c r="V49" s="97">
        <f t="shared" si="7"/>
        <v>-26</v>
      </c>
      <c r="W49" s="98">
        <f>R49/R48</f>
        <v>0.87536138772887895</v>
      </c>
    </row>
    <row r="50" spans="2:23" x14ac:dyDescent="0.25">
      <c r="B50" s="99" t="s">
        <v>63</v>
      </c>
      <c r="C50" s="53">
        <v>2465</v>
      </c>
      <c r="D50" s="53">
        <v>1643</v>
      </c>
      <c r="E50" s="53">
        <v>2193</v>
      </c>
      <c r="F50" s="53">
        <v>2189</v>
      </c>
      <c r="G50" s="53">
        <v>2050</v>
      </c>
      <c r="H50" s="53">
        <v>2053</v>
      </c>
      <c r="I50" s="100">
        <f t="shared" si="0"/>
        <v>1.4634146341463428E-3</v>
      </c>
      <c r="J50" s="100">
        <f t="shared" si="1"/>
        <v>0.24954351795496055</v>
      </c>
      <c r="K50" s="53">
        <f t="shared" si="2"/>
        <v>3</v>
      </c>
      <c r="L50" s="53">
        <f t="shared" si="3"/>
        <v>410</v>
      </c>
      <c r="M50" s="100">
        <f>H50/H48</f>
        <v>0.66311369509043927</v>
      </c>
      <c r="N50" s="53">
        <v>2165</v>
      </c>
      <c r="O50" s="53">
        <v>2047</v>
      </c>
      <c r="P50" s="53">
        <v>2013</v>
      </c>
      <c r="Q50" s="53">
        <v>2053</v>
      </c>
      <c r="R50" s="53">
        <v>2053</v>
      </c>
      <c r="S50" s="100">
        <f t="shared" si="4"/>
        <v>0</v>
      </c>
      <c r="T50" s="100">
        <f t="shared" si="5"/>
        <v>-5.1732101616628223E-2</v>
      </c>
      <c r="U50" s="53">
        <f t="shared" si="6"/>
        <v>0</v>
      </c>
      <c r="V50" s="53">
        <f t="shared" si="7"/>
        <v>-112</v>
      </c>
      <c r="W50" s="100">
        <f>R50/R48</f>
        <v>0.65949245101188569</v>
      </c>
    </row>
    <row r="51" spans="2:23" x14ac:dyDescent="0.25">
      <c r="B51" s="99" t="s">
        <v>64</v>
      </c>
      <c r="C51" s="53">
        <v>650</v>
      </c>
      <c r="D51" s="53">
        <v>422</v>
      </c>
      <c r="E51" s="53">
        <v>596</v>
      </c>
      <c r="F51" s="53">
        <v>819</v>
      </c>
      <c r="G51" s="53">
        <v>613</v>
      </c>
      <c r="H51" s="53">
        <v>657</v>
      </c>
      <c r="I51" s="100">
        <f t="shared" si="0"/>
        <v>7.1778140293637938E-2</v>
      </c>
      <c r="J51" s="100">
        <f t="shared" si="1"/>
        <v>0.55687203791469186</v>
      </c>
      <c r="K51" s="53">
        <f t="shared" si="2"/>
        <v>44</v>
      </c>
      <c r="L51" s="53">
        <f t="shared" si="3"/>
        <v>235</v>
      </c>
      <c r="M51" s="100">
        <f>H51/H48</f>
        <v>0.21220930232558138</v>
      </c>
      <c r="N51" s="53">
        <v>586</v>
      </c>
      <c r="O51" s="53">
        <v>824</v>
      </c>
      <c r="P51" s="53">
        <v>614</v>
      </c>
      <c r="Q51" s="53">
        <v>644</v>
      </c>
      <c r="R51" s="53">
        <v>672</v>
      </c>
      <c r="S51" s="100">
        <f t="shared" si="4"/>
        <v>4.3478260869565188E-2</v>
      </c>
      <c r="T51" s="100">
        <f t="shared" si="5"/>
        <v>0.14675767918088733</v>
      </c>
      <c r="U51" s="53">
        <f t="shared" si="6"/>
        <v>28</v>
      </c>
      <c r="V51" s="53">
        <f t="shared" si="7"/>
        <v>86</v>
      </c>
      <c r="W51" s="100">
        <f>R51/R48</f>
        <v>0.21586893671699325</v>
      </c>
    </row>
    <row r="52" spans="2:23" x14ac:dyDescent="0.25">
      <c r="B52" s="96" t="s">
        <v>65</v>
      </c>
      <c r="C52" s="97">
        <v>333</v>
      </c>
      <c r="D52" s="97">
        <v>460</v>
      </c>
      <c r="E52" s="97">
        <v>774</v>
      </c>
      <c r="F52" s="97">
        <v>904</v>
      </c>
      <c r="G52" s="97">
        <v>1110</v>
      </c>
      <c r="H52" s="97">
        <v>1086</v>
      </c>
      <c r="I52" s="98">
        <f t="shared" si="0"/>
        <v>-2.1621621621621623E-2</v>
      </c>
      <c r="J52" s="98">
        <f t="shared" si="1"/>
        <v>1.3608695652173912</v>
      </c>
      <c r="K52" s="97">
        <f t="shared" si="2"/>
        <v>-24</v>
      </c>
      <c r="L52" s="97">
        <f t="shared" si="3"/>
        <v>626</v>
      </c>
      <c r="M52" s="98">
        <f>H52/H48</f>
        <v>0.35077519379844962</v>
      </c>
      <c r="N52" s="97">
        <v>730</v>
      </c>
      <c r="O52" s="97">
        <v>904</v>
      </c>
      <c r="P52" s="97">
        <v>1114</v>
      </c>
      <c r="Q52" s="97">
        <v>1088</v>
      </c>
      <c r="R52" s="97">
        <v>1088</v>
      </c>
      <c r="S52" s="98">
        <f t="shared" si="4"/>
        <v>0</v>
      </c>
      <c r="T52" s="98">
        <f t="shared" si="5"/>
        <v>0.49041095890410968</v>
      </c>
      <c r="U52" s="97">
        <f t="shared" si="6"/>
        <v>0</v>
      </c>
      <c r="V52" s="97">
        <f t="shared" si="7"/>
        <v>358</v>
      </c>
      <c r="W52" s="98">
        <f>R52/R48</f>
        <v>0.3495020880179891</v>
      </c>
    </row>
    <row r="53" spans="2:23" ht="6.9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6"/>
      <c r="K53" s="104"/>
      <c r="L53" s="106"/>
      <c r="M53" s="106"/>
      <c r="N53" s="104"/>
      <c r="O53" s="104"/>
      <c r="P53" s="104"/>
      <c r="Q53" s="104"/>
      <c r="R53" s="106"/>
      <c r="S53" s="106"/>
      <c r="T53" s="106"/>
      <c r="U53" s="106"/>
      <c r="V53" s="106"/>
    </row>
    <row r="54" spans="2:23" ht="15" customHeight="1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  <c r="S54" s="107"/>
      <c r="T54" s="107"/>
      <c r="U54" s="107"/>
      <c r="V54" s="107"/>
    </row>
  </sheetData>
  <mergeCells count="2">
    <mergeCell ref="C5:H5"/>
    <mergeCell ref="N5:R5"/>
  </mergeCells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11744-E886-4674-96B8-B9327F788BD6}">
  <sheetPr>
    <tabColor rgb="FF92D050"/>
  </sheetPr>
  <dimension ref="B1:S54"/>
  <sheetViews>
    <sheetView showGridLines="0" zoomScaleNormal="100" workbookViewId="0"/>
  </sheetViews>
  <sheetFormatPr baseColWidth="10" defaultRowHeight="15" x14ac:dyDescent="0.25"/>
  <cols>
    <col min="1" max="1" width="15.5703125" customWidth="1"/>
    <col min="2" max="2" width="25.7109375" customWidth="1"/>
    <col min="3" max="8" width="9.85546875" customWidth="1"/>
    <col min="9" max="9" width="10.7109375" customWidth="1"/>
    <col min="10" max="10" width="9.28515625" customWidth="1"/>
    <col min="11" max="11" width="12.28515625" customWidth="1"/>
    <col min="12" max="16" width="11.5703125" customWidth="1"/>
    <col min="17" max="17" width="10.7109375" customWidth="1"/>
    <col min="18" max="18" width="9.85546875" customWidth="1"/>
    <col min="20" max="20" width="14.42578125" customWidth="1"/>
    <col min="21" max="22" width="7.85546875" customWidth="1"/>
    <col min="23" max="23" width="8.140625" customWidth="1"/>
    <col min="24" max="24" width="9" customWidth="1"/>
    <col min="25" max="26" width="9.42578125" customWidth="1"/>
  </cols>
  <sheetData>
    <row r="1" spans="2:19" ht="42.75" customHeight="1" x14ac:dyDescent="0.25"/>
    <row r="3" spans="2:19" ht="30.75" customHeight="1" thickBot="1" x14ac:dyDescent="0.3">
      <c r="B3" s="84" t="str">
        <f>CONCATENATE("Establecimientos alojativos en funcionamiento en Tenerife y municipios")</f>
        <v>Establecimientos alojativos en funcionamiento en Tenerife y municipios</v>
      </c>
      <c r="C3" s="66"/>
      <c r="D3" s="66"/>
      <c r="E3" s="66"/>
      <c r="F3" s="66"/>
      <c r="G3" s="66"/>
      <c r="H3" s="66"/>
      <c r="I3" s="66"/>
      <c r="J3" s="66"/>
      <c r="K3" s="66"/>
      <c r="L3" s="66"/>
      <c r="M3" s="66"/>
      <c r="N3" s="66"/>
      <c r="O3" s="66"/>
      <c r="P3" s="66"/>
      <c r="Q3" s="66"/>
      <c r="R3" s="66"/>
      <c r="S3" s="66"/>
    </row>
    <row r="4" spans="2:19" ht="6.95" customHeight="1" x14ac:dyDescent="0.25">
      <c r="B4" s="85"/>
      <c r="C4" s="85"/>
      <c r="D4" s="85"/>
      <c r="E4" s="85"/>
      <c r="F4" s="85"/>
      <c r="G4" s="85"/>
      <c r="H4" s="85"/>
      <c r="I4" s="86"/>
      <c r="J4" s="85"/>
      <c r="K4" s="85"/>
      <c r="L4" s="85"/>
      <c r="M4" s="85"/>
      <c r="N4" s="85"/>
      <c r="O4" s="85"/>
      <c r="P4" s="86"/>
      <c r="Q4" s="86"/>
      <c r="R4" s="86"/>
      <c r="S4" s="86"/>
    </row>
    <row r="5" spans="2:19" ht="15.75" thickBot="1" x14ac:dyDescent="0.3">
      <c r="B5" s="87"/>
      <c r="C5" s="301" t="s">
        <v>66</v>
      </c>
      <c r="D5" s="301"/>
      <c r="E5" s="301"/>
      <c r="F5" s="301"/>
      <c r="G5" s="301"/>
      <c r="H5" s="301"/>
      <c r="I5" s="88"/>
      <c r="J5" s="88"/>
      <c r="K5" s="89"/>
      <c r="L5" s="302" t="s">
        <v>67</v>
      </c>
      <c r="M5" s="302"/>
      <c r="N5" s="302"/>
      <c r="O5" s="302"/>
      <c r="P5" s="302"/>
      <c r="Q5" s="88"/>
      <c r="R5" s="88"/>
      <c r="S5" s="89"/>
    </row>
    <row r="6" spans="2:19" ht="59.25" customHeight="1" x14ac:dyDescent="0.25">
      <c r="B6" s="90"/>
      <c r="C6" s="14">
        <v>2019</v>
      </c>
      <c r="D6" s="14">
        <v>2020</v>
      </c>
      <c r="E6" s="14">
        <v>2021</v>
      </c>
      <c r="F6" s="14">
        <v>2022</v>
      </c>
      <c r="G6" s="14">
        <v>2023</v>
      </c>
      <c r="H6" s="14">
        <v>2024</v>
      </c>
      <c r="I6" s="91" t="str">
        <f>CONCATENATE("var. ",RIGHT(H6,2),"/",RIGHT(G6,2))</f>
        <v>var. 24/23</v>
      </c>
      <c r="J6" s="91" t="str">
        <f>CONCATENATE("dif. ",RIGHT(H6,2),"/",RIGHT(G6,2))</f>
        <v>dif. 24/23</v>
      </c>
      <c r="K6" s="14" t="str">
        <f>CONCATENATE("cuota/ total isla ",RIGHT(H6,2))</f>
        <v>cuota/ total isla 24</v>
      </c>
      <c r="L6" s="92" t="s">
        <v>224</v>
      </c>
      <c r="M6" s="92" t="s">
        <v>225</v>
      </c>
      <c r="N6" s="92" t="s">
        <v>226</v>
      </c>
      <c r="O6" s="92" t="s">
        <v>227</v>
      </c>
      <c r="P6" s="92" t="s">
        <v>228</v>
      </c>
      <c r="Q6" s="91" t="str">
        <f>CONCATENATE("var. ",RIGHT(P6,2),"/",RIGHT(O6,2))</f>
        <v>var. 25/24</v>
      </c>
      <c r="R6" s="91" t="str">
        <f>CONCATENATE("dif. ",RIGHT(P6,2),"/",RIGHT(O6,2))</f>
        <v>dif. 25/24</v>
      </c>
      <c r="S6" s="89" t="str">
        <f>CONCATENATE("cuota/ total isla ",RIGHT(P6,2))</f>
        <v>cuota/ total isla 25</v>
      </c>
    </row>
    <row r="7" spans="2:19" x14ac:dyDescent="0.25">
      <c r="B7" s="93" t="s">
        <v>45</v>
      </c>
      <c r="C7" s="94">
        <v>388</v>
      </c>
      <c r="D7" s="94">
        <v>173</v>
      </c>
      <c r="E7" s="94">
        <v>195</v>
      </c>
      <c r="F7" s="94">
        <v>293</v>
      </c>
      <c r="G7" s="94">
        <v>308</v>
      </c>
      <c r="H7" s="94">
        <v>321</v>
      </c>
      <c r="I7" s="95">
        <f>IFERROR(H7/G7-1,"-")</f>
        <v>4.2207792207792139E-2</v>
      </c>
      <c r="J7" s="94">
        <f>IFERROR(H7-G7,"-")</f>
        <v>13</v>
      </c>
      <c r="K7" s="95">
        <f>H7/H7</f>
        <v>1</v>
      </c>
      <c r="L7" s="94">
        <v>179</v>
      </c>
      <c r="M7" s="94">
        <v>294</v>
      </c>
      <c r="N7" s="94">
        <v>302</v>
      </c>
      <c r="O7" s="94">
        <v>318</v>
      </c>
      <c r="P7" s="94">
        <v>320</v>
      </c>
      <c r="Q7" s="95">
        <f t="shared" ref="Q7:Q52" si="0">IFERROR(P7/O7-1,"-")</f>
        <v>6.2893081761006275E-3</v>
      </c>
      <c r="R7" s="94">
        <f t="shared" ref="R7:R52" si="1">IFERROR(P7-O7,"-")</f>
        <v>2</v>
      </c>
      <c r="S7" s="95">
        <f>P7/P7</f>
        <v>1</v>
      </c>
    </row>
    <row r="8" spans="2:19" x14ac:dyDescent="0.25">
      <c r="B8" s="96" t="s">
        <v>62</v>
      </c>
      <c r="C8" s="97">
        <v>230</v>
      </c>
      <c r="D8" s="97">
        <v>104</v>
      </c>
      <c r="E8" s="97">
        <v>124</v>
      </c>
      <c r="F8" s="97">
        <v>194</v>
      </c>
      <c r="G8" s="97">
        <v>199</v>
      </c>
      <c r="H8" s="97">
        <v>210</v>
      </c>
      <c r="I8" s="98">
        <f t="shared" ref="I8:I52" si="2">IFERROR(H8/G8-1,"-")</f>
        <v>5.5276381909547645E-2</v>
      </c>
      <c r="J8" s="97">
        <f t="shared" ref="J8:J52" si="3">IFERROR(H8-G8,"-")</f>
        <v>11</v>
      </c>
      <c r="K8" s="98">
        <f>H8/H7</f>
        <v>0.65420560747663548</v>
      </c>
      <c r="L8" s="97">
        <v>112</v>
      </c>
      <c r="M8" s="97">
        <v>195</v>
      </c>
      <c r="N8" s="97">
        <v>194</v>
      </c>
      <c r="O8" s="97">
        <v>207</v>
      </c>
      <c r="P8" s="97">
        <v>207</v>
      </c>
      <c r="Q8" s="98">
        <f t="shared" si="0"/>
        <v>0</v>
      </c>
      <c r="R8" s="97">
        <f t="shared" si="1"/>
        <v>0</v>
      </c>
      <c r="S8" s="98">
        <f>P8/P7</f>
        <v>0.64687499999999998</v>
      </c>
    </row>
    <row r="9" spans="2:19" x14ac:dyDescent="0.25">
      <c r="B9" s="99" t="s">
        <v>63</v>
      </c>
      <c r="C9" s="53">
        <v>124</v>
      </c>
      <c r="D9" s="53">
        <v>63</v>
      </c>
      <c r="E9" s="53">
        <v>84</v>
      </c>
      <c r="F9" s="53">
        <v>128</v>
      </c>
      <c r="G9" s="53">
        <v>131</v>
      </c>
      <c r="H9" s="53">
        <v>136</v>
      </c>
      <c r="I9" s="100">
        <f t="shared" si="2"/>
        <v>3.8167938931297662E-2</v>
      </c>
      <c r="J9" s="53">
        <f t="shared" si="3"/>
        <v>5</v>
      </c>
      <c r="K9" s="100">
        <f>H9/H7</f>
        <v>0.42367601246105918</v>
      </c>
      <c r="L9" s="53">
        <v>76</v>
      </c>
      <c r="M9" s="53">
        <v>129</v>
      </c>
      <c r="N9" s="53">
        <v>129</v>
      </c>
      <c r="O9" s="53">
        <v>135</v>
      </c>
      <c r="P9" s="53">
        <v>133</v>
      </c>
      <c r="Q9" s="100">
        <f t="shared" si="0"/>
        <v>-1.4814814814814836E-2</v>
      </c>
      <c r="R9" s="53">
        <f t="shared" si="1"/>
        <v>-2</v>
      </c>
      <c r="S9" s="100">
        <f>P9/P7</f>
        <v>0.41562500000000002</v>
      </c>
    </row>
    <row r="10" spans="2:19" x14ac:dyDescent="0.25">
      <c r="B10" s="99" t="s">
        <v>64</v>
      </c>
      <c r="C10" s="53">
        <v>107</v>
      </c>
      <c r="D10" s="53">
        <v>41</v>
      </c>
      <c r="E10" s="53">
        <v>40</v>
      </c>
      <c r="F10" s="53">
        <v>65</v>
      </c>
      <c r="G10" s="53">
        <v>68</v>
      </c>
      <c r="H10" s="53">
        <v>74</v>
      </c>
      <c r="I10" s="100">
        <f t="shared" si="2"/>
        <v>8.8235294117646967E-2</v>
      </c>
      <c r="J10" s="53">
        <f t="shared" si="3"/>
        <v>6</v>
      </c>
      <c r="K10" s="100">
        <f>H10/H7</f>
        <v>0.23052959501557632</v>
      </c>
      <c r="L10" s="53">
        <v>36</v>
      </c>
      <c r="M10" s="53">
        <v>66</v>
      </c>
      <c r="N10" s="53">
        <v>65</v>
      </c>
      <c r="O10" s="53">
        <v>72</v>
      </c>
      <c r="P10" s="53">
        <v>74</v>
      </c>
      <c r="Q10" s="100">
        <f t="shared" si="0"/>
        <v>2.7777777777777679E-2</v>
      </c>
      <c r="R10" s="53">
        <f t="shared" si="1"/>
        <v>2</v>
      </c>
      <c r="S10" s="100">
        <f>P10/P7</f>
        <v>0.23125000000000001</v>
      </c>
    </row>
    <row r="11" spans="2:19" x14ac:dyDescent="0.25">
      <c r="B11" s="96" t="s">
        <v>65</v>
      </c>
      <c r="C11" s="97">
        <v>158</v>
      </c>
      <c r="D11" s="97">
        <v>70</v>
      </c>
      <c r="E11" s="97">
        <v>71</v>
      </c>
      <c r="F11" s="97">
        <v>100</v>
      </c>
      <c r="G11" s="97">
        <v>109</v>
      </c>
      <c r="H11" s="97">
        <v>111</v>
      </c>
      <c r="I11" s="98">
        <f t="shared" si="2"/>
        <v>1.8348623853210899E-2</v>
      </c>
      <c r="J11" s="97">
        <f t="shared" si="3"/>
        <v>2</v>
      </c>
      <c r="K11" s="98">
        <f>H11/H7</f>
        <v>0.34579439252336447</v>
      </c>
      <c r="L11" s="97">
        <v>67</v>
      </c>
      <c r="M11" s="97">
        <v>99</v>
      </c>
      <c r="N11" s="97">
        <v>108</v>
      </c>
      <c r="O11" s="97">
        <v>111</v>
      </c>
      <c r="P11" s="97">
        <v>113</v>
      </c>
      <c r="Q11" s="98">
        <f t="shared" si="0"/>
        <v>1.8018018018018056E-2</v>
      </c>
      <c r="R11" s="97">
        <f t="shared" si="1"/>
        <v>2</v>
      </c>
      <c r="S11" s="98">
        <f>P11/P7</f>
        <v>0.35312500000000002</v>
      </c>
    </row>
    <row r="12" spans="2:19" x14ac:dyDescent="0.25">
      <c r="B12" s="93" t="s">
        <v>46</v>
      </c>
      <c r="C12" s="101">
        <v>100</v>
      </c>
      <c r="D12" s="101">
        <v>49</v>
      </c>
      <c r="E12" s="101">
        <v>57</v>
      </c>
      <c r="F12" s="101">
        <v>84</v>
      </c>
      <c r="G12" s="101">
        <v>90</v>
      </c>
      <c r="H12" s="101">
        <v>94</v>
      </c>
      <c r="I12" s="102">
        <f t="shared" si="2"/>
        <v>4.4444444444444509E-2</v>
      </c>
      <c r="J12" s="101">
        <f t="shared" si="3"/>
        <v>4</v>
      </c>
      <c r="K12" s="95">
        <f>H12/H12</f>
        <v>1</v>
      </c>
      <c r="L12" s="101">
        <v>56</v>
      </c>
      <c r="M12" s="101">
        <v>85</v>
      </c>
      <c r="N12" s="101">
        <v>90</v>
      </c>
      <c r="O12" s="101">
        <v>93</v>
      </c>
      <c r="P12" s="101">
        <v>90</v>
      </c>
      <c r="Q12" s="102">
        <f t="shared" si="0"/>
        <v>-3.2258064516129004E-2</v>
      </c>
      <c r="R12" s="101">
        <f t="shared" si="1"/>
        <v>-3</v>
      </c>
      <c r="S12" s="95">
        <f>P12/P12</f>
        <v>1</v>
      </c>
    </row>
    <row r="13" spans="2:19" ht="15" customHeight="1" x14ac:dyDescent="0.25">
      <c r="B13" s="96" t="s">
        <v>62</v>
      </c>
      <c r="C13" s="97">
        <v>62</v>
      </c>
      <c r="D13" s="97">
        <v>31</v>
      </c>
      <c r="E13" s="97">
        <v>40</v>
      </c>
      <c r="F13" s="97">
        <v>60</v>
      </c>
      <c r="G13" s="97">
        <v>62</v>
      </c>
      <c r="H13" s="97">
        <v>63</v>
      </c>
      <c r="I13" s="98">
        <f t="shared" si="2"/>
        <v>1.6129032258064502E-2</v>
      </c>
      <c r="J13" s="97">
        <f t="shared" si="3"/>
        <v>1</v>
      </c>
      <c r="K13" s="98">
        <f>H13/H12</f>
        <v>0.67021276595744683</v>
      </c>
      <c r="L13" s="97">
        <v>38</v>
      </c>
      <c r="M13" s="97">
        <v>61</v>
      </c>
      <c r="N13" s="97">
        <v>61</v>
      </c>
      <c r="O13" s="97">
        <v>61</v>
      </c>
      <c r="P13" s="97">
        <v>58</v>
      </c>
      <c r="Q13" s="98">
        <f t="shared" si="0"/>
        <v>-4.9180327868852514E-2</v>
      </c>
      <c r="R13" s="97">
        <f t="shared" si="1"/>
        <v>-3</v>
      </c>
      <c r="S13" s="98">
        <f>P13/P12</f>
        <v>0.64444444444444449</v>
      </c>
    </row>
    <row r="14" spans="2:19" x14ac:dyDescent="0.25">
      <c r="B14" s="99" t="s">
        <v>63</v>
      </c>
      <c r="C14" s="53">
        <v>44</v>
      </c>
      <c r="D14" s="53">
        <v>25</v>
      </c>
      <c r="E14" s="53">
        <v>33</v>
      </c>
      <c r="F14" s="53">
        <v>48</v>
      </c>
      <c r="G14" s="53">
        <v>50</v>
      </c>
      <c r="H14" s="53">
        <v>52</v>
      </c>
      <c r="I14" s="100">
        <f t="shared" si="2"/>
        <v>4.0000000000000036E-2</v>
      </c>
      <c r="J14" s="53">
        <f t="shared" si="3"/>
        <v>2</v>
      </c>
      <c r="K14" s="100">
        <f>H14/H12</f>
        <v>0.55319148936170215</v>
      </c>
      <c r="L14" s="53">
        <v>33</v>
      </c>
      <c r="M14" s="53">
        <v>49</v>
      </c>
      <c r="N14" s="53">
        <v>50</v>
      </c>
      <c r="O14" s="53">
        <v>51</v>
      </c>
      <c r="P14" s="53">
        <v>47</v>
      </c>
      <c r="Q14" s="100">
        <f t="shared" si="0"/>
        <v>-7.8431372549019662E-2</v>
      </c>
      <c r="R14" s="53">
        <f t="shared" si="1"/>
        <v>-4</v>
      </c>
      <c r="S14" s="100">
        <f>P14/P12</f>
        <v>0.52222222222222225</v>
      </c>
    </row>
    <row r="15" spans="2:19" x14ac:dyDescent="0.25">
      <c r="B15" s="99" t="s">
        <v>64</v>
      </c>
      <c r="C15" s="53">
        <v>18</v>
      </c>
      <c r="D15" s="53">
        <v>6</v>
      </c>
      <c r="E15" s="53">
        <v>7</v>
      </c>
      <c r="F15" s="53">
        <v>12</v>
      </c>
      <c r="G15" s="53">
        <v>11</v>
      </c>
      <c r="H15" s="53">
        <v>11</v>
      </c>
      <c r="I15" s="100">
        <f t="shared" si="2"/>
        <v>0</v>
      </c>
      <c r="J15" s="53">
        <f t="shared" si="3"/>
        <v>0</v>
      </c>
      <c r="K15" s="100">
        <f>H15/H12</f>
        <v>0.11702127659574468</v>
      </c>
      <c r="L15" s="53">
        <v>5</v>
      </c>
      <c r="M15" s="53">
        <v>12</v>
      </c>
      <c r="N15" s="53">
        <v>11</v>
      </c>
      <c r="O15" s="53">
        <v>10</v>
      </c>
      <c r="P15" s="53">
        <v>11</v>
      </c>
      <c r="Q15" s="100">
        <f t="shared" si="0"/>
        <v>0.10000000000000009</v>
      </c>
      <c r="R15" s="53">
        <f t="shared" si="1"/>
        <v>1</v>
      </c>
      <c r="S15" s="100">
        <f>P15/P12</f>
        <v>0.12222222222222222</v>
      </c>
    </row>
    <row r="16" spans="2:19" x14ac:dyDescent="0.25">
      <c r="B16" s="96" t="s">
        <v>65</v>
      </c>
      <c r="C16" s="97">
        <v>38</v>
      </c>
      <c r="D16" s="97">
        <v>18</v>
      </c>
      <c r="E16" s="97">
        <v>17</v>
      </c>
      <c r="F16" s="97">
        <v>24</v>
      </c>
      <c r="G16" s="97">
        <v>29</v>
      </c>
      <c r="H16" s="97">
        <v>31</v>
      </c>
      <c r="I16" s="98">
        <f t="shared" si="2"/>
        <v>6.8965517241379226E-2</v>
      </c>
      <c r="J16" s="97">
        <f t="shared" si="3"/>
        <v>2</v>
      </c>
      <c r="K16" s="98">
        <f>H16/H12</f>
        <v>0.32978723404255317</v>
      </c>
      <c r="L16" s="97">
        <v>18</v>
      </c>
      <c r="M16" s="97">
        <v>24</v>
      </c>
      <c r="N16" s="97">
        <v>29</v>
      </c>
      <c r="O16" s="97">
        <v>32</v>
      </c>
      <c r="P16" s="97">
        <v>32</v>
      </c>
      <c r="Q16" s="98">
        <f t="shared" si="0"/>
        <v>0</v>
      </c>
      <c r="R16" s="97">
        <f t="shared" si="1"/>
        <v>0</v>
      </c>
      <c r="S16" s="98">
        <f>P16/P12</f>
        <v>0.35555555555555557</v>
      </c>
    </row>
    <row r="17" spans="2:19" x14ac:dyDescent="0.25">
      <c r="B17" s="93" t="s">
        <v>53</v>
      </c>
      <c r="C17" s="101">
        <v>23</v>
      </c>
      <c r="D17" s="101">
        <v>11</v>
      </c>
      <c r="E17" s="101">
        <v>12</v>
      </c>
      <c r="F17" s="101">
        <v>17</v>
      </c>
      <c r="G17" s="101">
        <v>19</v>
      </c>
      <c r="H17" s="101">
        <v>20</v>
      </c>
      <c r="I17" s="102">
        <f t="shared" si="2"/>
        <v>5.2631578947368363E-2</v>
      </c>
      <c r="J17" s="101">
        <f t="shared" si="3"/>
        <v>1</v>
      </c>
      <c r="K17" s="95">
        <f>H17/H17</f>
        <v>1</v>
      </c>
      <c r="L17" s="101">
        <v>12</v>
      </c>
      <c r="M17" s="101">
        <v>17</v>
      </c>
      <c r="N17" s="101">
        <v>18</v>
      </c>
      <c r="O17" s="101">
        <v>20</v>
      </c>
      <c r="P17" s="101">
        <v>20</v>
      </c>
      <c r="Q17" s="102">
        <f t="shared" si="0"/>
        <v>0</v>
      </c>
      <c r="R17" s="101">
        <f t="shared" si="1"/>
        <v>0</v>
      </c>
      <c r="S17" s="95">
        <f>P17/P17</f>
        <v>1</v>
      </c>
    </row>
    <row r="18" spans="2:19" x14ac:dyDescent="0.25">
      <c r="B18" s="96" t="s">
        <v>62</v>
      </c>
      <c r="C18" s="97">
        <v>23</v>
      </c>
      <c r="D18" s="97">
        <v>11</v>
      </c>
      <c r="E18" s="97">
        <v>12</v>
      </c>
      <c r="F18" s="97">
        <v>17</v>
      </c>
      <c r="G18" s="97">
        <v>19</v>
      </c>
      <c r="H18" s="97">
        <v>20</v>
      </c>
      <c r="I18" s="98">
        <f t="shared" si="2"/>
        <v>5.2631578947368363E-2</v>
      </c>
      <c r="J18" s="97">
        <f t="shared" si="3"/>
        <v>1</v>
      </c>
      <c r="K18" s="98">
        <f>H18/H17</f>
        <v>1</v>
      </c>
      <c r="L18" s="97">
        <v>12</v>
      </c>
      <c r="M18" s="97">
        <v>17</v>
      </c>
      <c r="N18" s="97">
        <v>18</v>
      </c>
      <c r="O18" s="97">
        <v>20</v>
      </c>
      <c r="P18" s="97">
        <v>20</v>
      </c>
      <c r="Q18" s="98">
        <f t="shared" si="0"/>
        <v>0</v>
      </c>
      <c r="R18" s="97">
        <f t="shared" si="1"/>
        <v>0</v>
      </c>
      <c r="S18" s="98">
        <f>P18/P17</f>
        <v>1</v>
      </c>
    </row>
    <row r="19" spans="2:19" x14ac:dyDescent="0.25">
      <c r="B19" s="99" t="s">
        <v>63</v>
      </c>
      <c r="C19" s="53">
        <v>5</v>
      </c>
      <c r="D19" s="53">
        <v>4</v>
      </c>
      <c r="E19" s="53">
        <v>7</v>
      </c>
      <c r="F19" s="53">
        <v>7</v>
      </c>
      <c r="G19" s="53">
        <v>7</v>
      </c>
      <c r="H19" s="53">
        <v>7</v>
      </c>
      <c r="I19" s="100">
        <f t="shared" si="2"/>
        <v>0</v>
      </c>
      <c r="J19" s="53">
        <f t="shared" si="3"/>
        <v>0</v>
      </c>
      <c r="K19" s="100">
        <f>H19/H17</f>
        <v>0.35</v>
      </c>
      <c r="L19" s="53">
        <v>7</v>
      </c>
      <c r="M19" s="53">
        <v>7</v>
      </c>
      <c r="N19" s="53">
        <v>7</v>
      </c>
      <c r="O19" s="53">
        <v>7</v>
      </c>
      <c r="P19" s="53">
        <v>8</v>
      </c>
      <c r="Q19" s="100">
        <f t="shared" si="0"/>
        <v>0.14285714285714279</v>
      </c>
      <c r="R19" s="53">
        <f t="shared" si="1"/>
        <v>1</v>
      </c>
      <c r="S19" s="100">
        <f>P19/P17</f>
        <v>0.4</v>
      </c>
    </row>
    <row r="20" spans="2:19" x14ac:dyDescent="0.25">
      <c r="B20" s="99" t="s">
        <v>64</v>
      </c>
      <c r="C20" s="53">
        <v>18</v>
      </c>
      <c r="D20" s="53">
        <v>7</v>
      </c>
      <c r="E20" s="53">
        <v>6</v>
      </c>
      <c r="F20" s="53">
        <v>10</v>
      </c>
      <c r="G20" s="53">
        <v>12</v>
      </c>
      <c r="H20" s="53">
        <v>13</v>
      </c>
      <c r="I20" s="100">
        <f t="shared" si="2"/>
        <v>8.3333333333333259E-2</v>
      </c>
      <c r="J20" s="53">
        <f t="shared" si="3"/>
        <v>1</v>
      </c>
      <c r="K20" s="100">
        <f>H20/H17</f>
        <v>0.65</v>
      </c>
      <c r="L20" s="53">
        <v>5</v>
      </c>
      <c r="M20" s="53">
        <v>10</v>
      </c>
      <c r="N20" s="53">
        <v>11</v>
      </c>
      <c r="O20" s="53">
        <v>13</v>
      </c>
      <c r="P20" s="53">
        <v>12</v>
      </c>
      <c r="Q20" s="100">
        <f t="shared" si="0"/>
        <v>-7.6923076923076872E-2</v>
      </c>
      <c r="R20" s="53">
        <f t="shared" si="1"/>
        <v>-1</v>
      </c>
      <c r="S20" s="100">
        <f>P20/P17</f>
        <v>0.6</v>
      </c>
    </row>
    <row r="21" spans="2:19" x14ac:dyDescent="0.25">
      <c r="B21" s="96" t="s">
        <v>65</v>
      </c>
      <c r="C21" s="97">
        <v>0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8" t="str">
        <f t="shared" si="2"/>
        <v>-</v>
      </c>
      <c r="J21" s="97">
        <f t="shared" si="3"/>
        <v>0</v>
      </c>
      <c r="K21" s="98">
        <f>H21/H17</f>
        <v>0</v>
      </c>
      <c r="L21" s="97" t="s">
        <v>229</v>
      </c>
      <c r="M21" s="97" t="s">
        <v>229</v>
      </c>
      <c r="N21" s="97" t="s">
        <v>229</v>
      </c>
      <c r="O21" s="97" t="s">
        <v>229</v>
      </c>
      <c r="P21" s="97" t="s">
        <v>229</v>
      </c>
      <c r="Q21" s="98" t="str">
        <f t="shared" si="0"/>
        <v>-</v>
      </c>
      <c r="R21" s="97" t="str">
        <f t="shared" si="1"/>
        <v>-</v>
      </c>
      <c r="S21" s="98" t="e">
        <f>P21/P17</f>
        <v>#VALUE!</v>
      </c>
    </row>
    <row r="22" spans="2:19" x14ac:dyDescent="0.25">
      <c r="B22" s="93" t="s">
        <v>48</v>
      </c>
      <c r="C22" s="101">
        <v>13</v>
      </c>
      <c r="D22" s="101">
        <v>4</v>
      </c>
      <c r="E22" s="101">
        <v>4</v>
      </c>
      <c r="F22" s="101">
        <v>5</v>
      </c>
      <c r="G22" s="101">
        <v>7</v>
      </c>
      <c r="H22" s="101">
        <v>7</v>
      </c>
      <c r="I22" s="102">
        <f t="shared" si="2"/>
        <v>0</v>
      </c>
      <c r="J22" s="101">
        <f t="shared" si="3"/>
        <v>0</v>
      </c>
      <c r="K22" s="102">
        <f>H22/H22</f>
        <v>1</v>
      </c>
      <c r="L22" s="101">
        <v>4</v>
      </c>
      <c r="M22" s="101">
        <v>5</v>
      </c>
      <c r="N22" s="101">
        <v>7</v>
      </c>
      <c r="O22" s="101">
        <v>6</v>
      </c>
      <c r="P22" s="101">
        <v>8</v>
      </c>
      <c r="Q22" s="102">
        <f t="shared" si="0"/>
        <v>0.33333333333333326</v>
      </c>
      <c r="R22" s="101">
        <f t="shared" si="1"/>
        <v>2</v>
      </c>
      <c r="S22" s="102">
        <f>P22/P22</f>
        <v>1</v>
      </c>
    </row>
    <row r="23" spans="2:19" x14ac:dyDescent="0.25">
      <c r="B23" s="96" t="s">
        <v>62</v>
      </c>
      <c r="C23" s="97">
        <v>7</v>
      </c>
      <c r="D23" s="97">
        <v>3</v>
      </c>
      <c r="E23" s="97">
        <v>4</v>
      </c>
      <c r="F23" s="97">
        <v>5</v>
      </c>
      <c r="G23" s="97">
        <v>6</v>
      </c>
      <c r="H23" s="97">
        <v>6</v>
      </c>
      <c r="I23" s="98">
        <f t="shared" si="2"/>
        <v>0</v>
      </c>
      <c r="J23" s="97">
        <f t="shared" si="3"/>
        <v>0</v>
      </c>
      <c r="K23" s="98">
        <f>H23/H22</f>
        <v>0.8571428571428571</v>
      </c>
      <c r="L23" s="97">
        <v>4</v>
      </c>
      <c r="M23" s="97">
        <v>5</v>
      </c>
      <c r="N23" s="97">
        <v>6</v>
      </c>
      <c r="O23" s="97">
        <v>5</v>
      </c>
      <c r="P23" s="97">
        <v>6</v>
      </c>
      <c r="Q23" s="98">
        <f t="shared" si="0"/>
        <v>0.19999999999999996</v>
      </c>
      <c r="R23" s="97">
        <f t="shared" si="1"/>
        <v>1</v>
      </c>
      <c r="S23" s="98">
        <f>P23/P22</f>
        <v>0.75</v>
      </c>
    </row>
    <row r="24" spans="2:19" x14ac:dyDescent="0.25">
      <c r="B24" s="96" t="s">
        <v>65</v>
      </c>
      <c r="C24" s="97">
        <v>6</v>
      </c>
      <c r="D24" s="97">
        <v>1</v>
      </c>
      <c r="E24" s="97">
        <v>0</v>
      </c>
      <c r="F24" s="97">
        <v>0</v>
      </c>
      <c r="G24" s="97">
        <v>0</v>
      </c>
      <c r="H24" s="97">
        <v>0</v>
      </c>
      <c r="I24" s="98" t="str">
        <f t="shared" si="2"/>
        <v>-</v>
      </c>
      <c r="J24" s="97">
        <f t="shared" si="3"/>
        <v>0</v>
      </c>
      <c r="K24" s="98">
        <f>H24/H22</f>
        <v>0</v>
      </c>
      <c r="L24" s="97">
        <v>0</v>
      </c>
      <c r="M24" s="97">
        <v>0</v>
      </c>
      <c r="N24" s="97">
        <v>0</v>
      </c>
      <c r="O24" s="97">
        <v>0</v>
      </c>
      <c r="P24" s="97">
        <v>0</v>
      </c>
      <c r="Q24" s="98" t="str">
        <f t="shared" si="0"/>
        <v>-</v>
      </c>
      <c r="R24" s="97">
        <f t="shared" si="1"/>
        <v>0</v>
      </c>
      <c r="S24" s="98">
        <f>P24/P22</f>
        <v>0</v>
      </c>
    </row>
    <row r="25" spans="2:19" x14ac:dyDescent="0.25">
      <c r="B25" s="93" t="s">
        <v>49</v>
      </c>
      <c r="C25" s="101">
        <v>6</v>
      </c>
      <c r="D25" s="101">
        <v>3</v>
      </c>
      <c r="E25" s="101">
        <v>4</v>
      </c>
      <c r="F25" s="101">
        <v>5</v>
      </c>
      <c r="G25" s="101">
        <v>4</v>
      </c>
      <c r="H25" s="101">
        <v>5</v>
      </c>
      <c r="I25" s="102">
        <f t="shared" si="2"/>
        <v>0.25</v>
      </c>
      <c r="J25" s="101">
        <f t="shared" si="3"/>
        <v>1</v>
      </c>
      <c r="K25" s="95">
        <f>H25/H25</f>
        <v>1</v>
      </c>
      <c r="L25" s="101">
        <v>3</v>
      </c>
      <c r="M25" s="101">
        <v>5</v>
      </c>
      <c r="N25" s="101">
        <v>4</v>
      </c>
      <c r="O25" s="101">
        <v>5</v>
      </c>
      <c r="P25" s="101">
        <v>6</v>
      </c>
      <c r="Q25" s="102">
        <f t="shared" si="0"/>
        <v>0.19999999999999996</v>
      </c>
      <c r="R25" s="101">
        <f t="shared" si="1"/>
        <v>1</v>
      </c>
      <c r="S25" s="95">
        <f>P25/P25</f>
        <v>1</v>
      </c>
    </row>
    <row r="26" spans="2:19" x14ac:dyDescent="0.25">
      <c r="B26" s="96" t="s">
        <v>62</v>
      </c>
      <c r="C26" s="97">
        <v>5</v>
      </c>
      <c r="D26" s="97">
        <v>2</v>
      </c>
      <c r="E26" s="97">
        <v>3</v>
      </c>
      <c r="F26" s="97">
        <v>4</v>
      </c>
      <c r="G26" s="97">
        <v>3</v>
      </c>
      <c r="H26" s="97">
        <v>4</v>
      </c>
      <c r="I26" s="98">
        <f t="shared" si="2"/>
        <v>0.33333333333333326</v>
      </c>
      <c r="J26" s="97">
        <f t="shared" si="3"/>
        <v>1</v>
      </c>
      <c r="K26" s="98">
        <f>H26/H25</f>
        <v>0.8</v>
      </c>
      <c r="L26" s="97">
        <v>2</v>
      </c>
      <c r="M26" s="97">
        <v>4</v>
      </c>
      <c r="N26" s="97">
        <v>3</v>
      </c>
      <c r="O26" s="97">
        <v>4</v>
      </c>
      <c r="P26" s="97">
        <v>5</v>
      </c>
      <c r="Q26" s="98">
        <f t="shared" si="0"/>
        <v>0.25</v>
      </c>
      <c r="R26" s="97">
        <f t="shared" si="1"/>
        <v>1</v>
      </c>
      <c r="S26" s="98">
        <f>P26/P25</f>
        <v>0.83333333333333337</v>
      </c>
    </row>
    <row r="27" spans="2:19" x14ac:dyDescent="0.25">
      <c r="B27" s="99" t="s">
        <v>63</v>
      </c>
      <c r="C27" s="53">
        <v>3</v>
      </c>
      <c r="D27" s="53">
        <v>0</v>
      </c>
      <c r="E27" s="53">
        <v>0</v>
      </c>
      <c r="F27" s="53">
        <v>0</v>
      </c>
      <c r="G27" s="53">
        <v>0</v>
      </c>
      <c r="H27" s="53">
        <v>0</v>
      </c>
      <c r="I27" s="100" t="str">
        <f t="shared" si="2"/>
        <v>-</v>
      </c>
      <c r="J27" s="53">
        <f t="shared" si="3"/>
        <v>0</v>
      </c>
      <c r="K27" s="100">
        <f>H27/H25</f>
        <v>0</v>
      </c>
      <c r="L27" s="53">
        <v>2</v>
      </c>
      <c r="M27" s="53">
        <v>0</v>
      </c>
      <c r="N27" s="53">
        <v>3</v>
      </c>
      <c r="O27" s="53">
        <v>0</v>
      </c>
      <c r="P27" s="53">
        <v>0</v>
      </c>
      <c r="Q27" s="100" t="str">
        <f t="shared" si="0"/>
        <v>-</v>
      </c>
      <c r="R27" s="53">
        <f t="shared" si="1"/>
        <v>0</v>
      </c>
      <c r="S27" s="100">
        <f>P27/P25</f>
        <v>0</v>
      </c>
    </row>
    <row r="28" spans="2:19" x14ac:dyDescent="0.25">
      <c r="B28" s="99" t="s">
        <v>64</v>
      </c>
      <c r="C28" s="53">
        <v>2</v>
      </c>
      <c r="D28" s="53">
        <v>0</v>
      </c>
      <c r="E28" s="53">
        <v>0</v>
      </c>
      <c r="F28" s="53">
        <v>0</v>
      </c>
      <c r="G28" s="53">
        <v>0</v>
      </c>
      <c r="H28" s="53">
        <v>0</v>
      </c>
      <c r="I28" s="100" t="str">
        <f t="shared" si="2"/>
        <v>-</v>
      </c>
      <c r="J28" s="53">
        <f t="shared" si="3"/>
        <v>0</v>
      </c>
      <c r="K28" s="100">
        <f>H28/H25</f>
        <v>0</v>
      </c>
      <c r="L28" s="53">
        <v>0</v>
      </c>
      <c r="M28" s="53">
        <v>0</v>
      </c>
      <c r="N28" s="53">
        <v>0</v>
      </c>
      <c r="O28" s="53">
        <v>0</v>
      </c>
      <c r="P28" s="53">
        <v>0</v>
      </c>
      <c r="Q28" s="100" t="str">
        <f t="shared" si="0"/>
        <v>-</v>
      </c>
      <c r="R28" s="53">
        <f t="shared" si="1"/>
        <v>0</v>
      </c>
      <c r="S28" s="100">
        <f>P28/P25</f>
        <v>0</v>
      </c>
    </row>
    <row r="29" spans="2:19" x14ac:dyDescent="0.25">
      <c r="B29" s="93" t="s">
        <v>50</v>
      </c>
      <c r="C29" s="101">
        <v>78</v>
      </c>
      <c r="D29" s="101">
        <v>33</v>
      </c>
      <c r="E29" s="101">
        <v>37</v>
      </c>
      <c r="F29" s="101">
        <v>59</v>
      </c>
      <c r="G29" s="101">
        <v>62</v>
      </c>
      <c r="H29" s="101">
        <v>64</v>
      </c>
      <c r="I29" s="102">
        <f t="shared" si="2"/>
        <v>3.2258064516129004E-2</v>
      </c>
      <c r="J29" s="101">
        <f t="shared" si="3"/>
        <v>2</v>
      </c>
      <c r="K29" s="95">
        <f>H29/H29</f>
        <v>1</v>
      </c>
      <c r="L29" s="101">
        <v>33</v>
      </c>
      <c r="M29" s="101">
        <v>59</v>
      </c>
      <c r="N29" s="101">
        <v>61</v>
      </c>
      <c r="O29" s="101">
        <v>64</v>
      </c>
      <c r="P29" s="101">
        <v>64</v>
      </c>
      <c r="Q29" s="102">
        <f t="shared" si="0"/>
        <v>0</v>
      </c>
      <c r="R29" s="101">
        <f t="shared" si="1"/>
        <v>0</v>
      </c>
      <c r="S29" s="95">
        <f>P29/P29</f>
        <v>1</v>
      </c>
    </row>
    <row r="30" spans="2:19" x14ac:dyDescent="0.25">
      <c r="B30" s="96" t="s">
        <v>62</v>
      </c>
      <c r="C30" s="97">
        <v>54</v>
      </c>
      <c r="D30" s="97">
        <v>21</v>
      </c>
      <c r="E30" s="97">
        <v>25</v>
      </c>
      <c r="F30" s="97">
        <v>41</v>
      </c>
      <c r="G30" s="97">
        <v>43</v>
      </c>
      <c r="H30" s="97">
        <v>45</v>
      </c>
      <c r="I30" s="98">
        <f t="shared" si="2"/>
        <v>4.6511627906976827E-2</v>
      </c>
      <c r="J30" s="97">
        <f t="shared" si="3"/>
        <v>2</v>
      </c>
      <c r="K30" s="98">
        <f>H30/H29</f>
        <v>0.703125</v>
      </c>
      <c r="L30" s="97">
        <v>21</v>
      </c>
      <c r="M30" s="97">
        <v>41</v>
      </c>
      <c r="N30" s="97">
        <v>42</v>
      </c>
      <c r="O30" s="97">
        <v>45</v>
      </c>
      <c r="P30" s="97">
        <v>45</v>
      </c>
      <c r="Q30" s="98">
        <f t="shared" si="0"/>
        <v>0</v>
      </c>
      <c r="R30" s="97">
        <f t="shared" si="1"/>
        <v>0</v>
      </c>
      <c r="S30" s="98">
        <f>P30/P29</f>
        <v>0.703125</v>
      </c>
    </row>
    <row r="31" spans="2:19" x14ac:dyDescent="0.25">
      <c r="B31" s="99" t="s">
        <v>63</v>
      </c>
      <c r="C31" s="53">
        <v>27</v>
      </c>
      <c r="D31" s="53">
        <v>11</v>
      </c>
      <c r="E31" s="53">
        <v>14</v>
      </c>
      <c r="F31" s="53">
        <v>25</v>
      </c>
      <c r="G31" s="53">
        <v>26</v>
      </c>
      <c r="H31" s="53">
        <v>28</v>
      </c>
      <c r="I31" s="100">
        <f t="shared" si="2"/>
        <v>7.6923076923076872E-2</v>
      </c>
      <c r="J31" s="53">
        <f t="shared" si="3"/>
        <v>2</v>
      </c>
      <c r="K31" s="100">
        <f>H31/H29</f>
        <v>0.4375</v>
      </c>
      <c r="L31" s="53">
        <v>11</v>
      </c>
      <c r="M31" s="53">
        <v>25</v>
      </c>
      <c r="N31" s="53">
        <v>25</v>
      </c>
      <c r="O31" s="53">
        <v>28</v>
      </c>
      <c r="P31" s="53">
        <v>28</v>
      </c>
      <c r="Q31" s="100">
        <f t="shared" si="0"/>
        <v>0</v>
      </c>
      <c r="R31" s="53">
        <f t="shared" si="1"/>
        <v>0</v>
      </c>
      <c r="S31" s="100">
        <f>P31/P29</f>
        <v>0.4375</v>
      </c>
    </row>
    <row r="32" spans="2:19" x14ac:dyDescent="0.25">
      <c r="B32" s="99" t="s">
        <v>64</v>
      </c>
      <c r="C32" s="53">
        <v>28</v>
      </c>
      <c r="D32" s="53">
        <v>10</v>
      </c>
      <c r="E32" s="53">
        <v>11</v>
      </c>
      <c r="F32" s="53">
        <v>16</v>
      </c>
      <c r="G32" s="53">
        <v>17</v>
      </c>
      <c r="H32" s="53">
        <v>17</v>
      </c>
      <c r="I32" s="100">
        <f t="shared" si="2"/>
        <v>0</v>
      </c>
      <c r="J32" s="53">
        <f t="shared" si="3"/>
        <v>0</v>
      </c>
      <c r="K32" s="100">
        <f>H32/H29</f>
        <v>0.265625</v>
      </c>
      <c r="L32" s="53">
        <v>10</v>
      </c>
      <c r="M32" s="53">
        <v>16</v>
      </c>
      <c r="N32" s="53">
        <v>17</v>
      </c>
      <c r="O32" s="53">
        <v>17</v>
      </c>
      <c r="P32" s="53">
        <v>17</v>
      </c>
      <c r="Q32" s="100">
        <f t="shared" si="0"/>
        <v>0</v>
      </c>
      <c r="R32" s="53">
        <f t="shared" si="1"/>
        <v>0</v>
      </c>
      <c r="S32" s="100">
        <f>P32/P29</f>
        <v>0.265625</v>
      </c>
    </row>
    <row r="33" spans="2:19" x14ac:dyDescent="0.25">
      <c r="B33" s="96" t="s">
        <v>65</v>
      </c>
      <c r="C33" s="97">
        <v>24</v>
      </c>
      <c r="D33" s="97">
        <v>12</v>
      </c>
      <c r="E33" s="97">
        <v>12</v>
      </c>
      <c r="F33" s="97">
        <v>18</v>
      </c>
      <c r="G33" s="97">
        <v>19</v>
      </c>
      <c r="H33" s="97">
        <v>19</v>
      </c>
      <c r="I33" s="98">
        <f t="shared" si="2"/>
        <v>0</v>
      </c>
      <c r="J33" s="97">
        <f t="shared" si="3"/>
        <v>0</v>
      </c>
      <c r="K33" s="98">
        <f>H33/H29</f>
        <v>0.296875</v>
      </c>
      <c r="L33" s="97">
        <v>12</v>
      </c>
      <c r="M33" s="97">
        <v>18</v>
      </c>
      <c r="N33" s="97">
        <v>19</v>
      </c>
      <c r="O33" s="97">
        <v>19</v>
      </c>
      <c r="P33" s="97">
        <v>19</v>
      </c>
      <c r="Q33" s="98">
        <f t="shared" si="0"/>
        <v>0</v>
      </c>
      <c r="R33" s="97">
        <f t="shared" si="1"/>
        <v>0</v>
      </c>
      <c r="S33" s="98">
        <f>P33/P29</f>
        <v>0.296875</v>
      </c>
    </row>
    <row r="34" spans="2:19" x14ac:dyDescent="0.25">
      <c r="B34" s="93" t="s">
        <v>51</v>
      </c>
      <c r="C34" s="101">
        <v>9</v>
      </c>
      <c r="D34" s="101">
        <v>4</v>
      </c>
      <c r="E34" s="101">
        <v>3</v>
      </c>
      <c r="F34" s="101">
        <v>5</v>
      </c>
      <c r="G34" s="101">
        <v>5</v>
      </c>
      <c r="H34" s="101">
        <v>6</v>
      </c>
      <c r="I34" s="102">
        <f t="shared" si="2"/>
        <v>0.19999999999999996</v>
      </c>
      <c r="J34" s="101">
        <f t="shared" si="3"/>
        <v>1</v>
      </c>
      <c r="K34" s="95">
        <f>H34/H34</f>
        <v>1</v>
      </c>
      <c r="L34" s="101">
        <v>3</v>
      </c>
      <c r="M34" s="101">
        <v>5</v>
      </c>
      <c r="N34" s="101">
        <v>5</v>
      </c>
      <c r="O34" s="101">
        <v>6</v>
      </c>
      <c r="P34" s="101">
        <v>6</v>
      </c>
      <c r="Q34" s="102">
        <f t="shared" si="0"/>
        <v>0</v>
      </c>
      <c r="R34" s="101">
        <f t="shared" si="1"/>
        <v>0</v>
      </c>
      <c r="S34" s="95">
        <f>P34/P34</f>
        <v>1</v>
      </c>
    </row>
    <row r="35" spans="2:19" x14ac:dyDescent="0.25">
      <c r="B35" s="96" t="s">
        <v>62</v>
      </c>
      <c r="C35" s="97">
        <v>9</v>
      </c>
      <c r="D35" s="97">
        <v>4</v>
      </c>
      <c r="E35" s="97">
        <v>3</v>
      </c>
      <c r="F35" s="97">
        <v>5</v>
      </c>
      <c r="G35" s="97">
        <v>5</v>
      </c>
      <c r="H35" s="97">
        <v>6</v>
      </c>
      <c r="I35" s="98">
        <f t="shared" si="2"/>
        <v>0.19999999999999996</v>
      </c>
      <c r="J35" s="97">
        <f t="shared" si="3"/>
        <v>1</v>
      </c>
      <c r="K35" s="98">
        <f>H35/H34</f>
        <v>1</v>
      </c>
      <c r="L35" s="97">
        <v>3</v>
      </c>
      <c r="M35" s="97">
        <v>5</v>
      </c>
      <c r="N35" s="97">
        <v>5</v>
      </c>
      <c r="O35" s="97">
        <v>6</v>
      </c>
      <c r="P35" s="97">
        <v>6</v>
      </c>
      <c r="Q35" s="98">
        <f t="shared" si="0"/>
        <v>0</v>
      </c>
      <c r="R35" s="97">
        <f t="shared" si="1"/>
        <v>0</v>
      </c>
      <c r="S35" s="98">
        <f>P35/P34</f>
        <v>1</v>
      </c>
    </row>
    <row r="36" spans="2:19" x14ac:dyDescent="0.25">
      <c r="B36" s="93" t="s">
        <v>52</v>
      </c>
      <c r="C36" s="101">
        <v>15</v>
      </c>
      <c r="D36" s="101">
        <v>6</v>
      </c>
      <c r="E36" s="101">
        <v>7</v>
      </c>
      <c r="F36" s="101">
        <v>11</v>
      </c>
      <c r="G36" s="101">
        <v>12</v>
      </c>
      <c r="H36" s="101">
        <v>12</v>
      </c>
      <c r="I36" s="102">
        <f t="shared" si="2"/>
        <v>0</v>
      </c>
      <c r="J36" s="101">
        <f t="shared" si="3"/>
        <v>0</v>
      </c>
      <c r="K36" s="102">
        <f>H36/H36</f>
        <v>1</v>
      </c>
      <c r="L36" s="101">
        <v>6</v>
      </c>
      <c r="M36" s="101">
        <v>10</v>
      </c>
      <c r="N36" s="101">
        <v>12</v>
      </c>
      <c r="O36" s="101">
        <v>12</v>
      </c>
      <c r="P36" s="101">
        <v>12</v>
      </c>
      <c r="Q36" s="102">
        <f t="shared" si="0"/>
        <v>0</v>
      </c>
      <c r="R36" s="101">
        <f t="shared" si="1"/>
        <v>0</v>
      </c>
      <c r="S36" s="102">
        <f>P36/P36</f>
        <v>1</v>
      </c>
    </row>
    <row r="37" spans="2:19" x14ac:dyDescent="0.25">
      <c r="B37" s="96" t="s">
        <v>62</v>
      </c>
      <c r="C37" s="97">
        <v>5</v>
      </c>
      <c r="D37" s="97">
        <v>2</v>
      </c>
      <c r="E37" s="97">
        <v>3</v>
      </c>
      <c r="F37" s="97">
        <v>6</v>
      </c>
      <c r="G37" s="97">
        <v>6</v>
      </c>
      <c r="H37" s="97">
        <v>6</v>
      </c>
      <c r="I37" s="98">
        <f t="shared" si="2"/>
        <v>0</v>
      </c>
      <c r="J37" s="97">
        <f t="shared" si="3"/>
        <v>0</v>
      </c>
      <c r="K37" s="98">
        <f>H37/H36</f>
        <v>0.5</v>
      </c>
      <c r="L37" s="97">
        <v>3</v>
      </c>
      <c r="M37" s="97">
        <v>5</v>
      </c>
      <c r="N37" s="97">
        <v>6</v>
      </c>
      <c r="O37" s="97">
        <v>6</v>
      </c>
      <c r="P37" s="97">
        <v>6</v>
      </c>
      <c r="Q37" s="98">
        <f t="shared" si="0"/>
        <v>0</v>
      </c>
      <c r="R37" s="97">
        <f t="shared" si="1"/>
        <v>0</v>
      </c>
      <c r="S37" s="98">
        <f>P37/P36</f>
        <v>0.5</v>
      </c>
    </row>
    <row r="38" spans="2:19" x14ac:dyDescent="0.25">
      <c r="B38" s="96" t="s">
        <v>65</v>
      </c>
      <c r="C38" s="97">
        <v>10</v>
      </c>
      <c r="D38" s="97">
        <v>3</v>
      </c>
      <c r="E38" s="97">
        <v>3</v>
      </c>
      <c r="F38" s="97">
        <v>5</v>
      </c>
      <c r="G38" s="97">
        <v>6</v>
      </c>
      <c r="H38" s="97">
        <v>6</v>
      </c>
      <c r="I38" s="98">
        <f t="shared" si="2"/>
        <v>0</v>
      </c>
      <c r="J38" s="97">
        <f t="shared" si="3"/>
        <v>0</v>
      </c>
      <c r="K38" s="98">
        <f>H38/H36</f>
        <v>0.5</v>
      </c>
      <c r="L38" s="97">
        <v>3</v>
      </c>
      <c r="M38" s="97">
        <v>5</v>
      </c>
      <c r="N38" s="97">
        <v>6</v>
      </c>
      <c r="O38" s="97">
        <v>6</v>
      </c>
      <c r="P38" s="97">
        <v>6</v>
      </c>
      <c r="Q38" s="98">
        <f t="shared" si="0"/>
        <v>0</v>
      </c>
      <c r="R38" s="97">
        <f t="shared" si="1"/>
        <v>0</v>
      </c>
      <c r="S38" s="98">
        <f>P38/P36</f>
        <v>0.5</v>
      </c>
    </row>
    <row r="39" spans="2:19" x14ac:dyDescent="0.25">
      <c r="B39" s="93" t="s">
        <v>53</v>
      </c>
      <c r="C39" s="101">
        <v>23</v>
      </c>
      <c r="D39" s="101">
        <v>11</v>
      </c>
      <c r="E39" s="101">
        <v>12</v>
      </c>
      <c r="F39" s="101">
        <v>17</v>
      </c>
      <c r="G39" s="101">
        <v>19</v>
      </c>
      <c r="H39" s="101">
        <v>20</v>
      </c>
      <c r="I39" s="102">
        <f t="shared" si="2"/>
        <v>5.2631578947368363E-2</v>
      </c>
      <c r="J39" s="101">
        <f t="shared" si="3"/>
        <v>1</v>
      </c>
      <c r="K39" s="95">
        <f>H39/H39</f>
        <v>1</v>
      </c>
      <c r="L39" s="101">
        <v>12</v>
      </c>
      <c r="M39" s="101">
        <v>17</v>
      </c>
      <c r="N39" s="101">
        <v>18</v>
      </c>
      <c r="O39" s="101">
        <v>20</v>
      </c>
      <c r="P39" s="101">
        <v>20</v>
      </c>
      <c r="Q39" s="102">
        <f t="shared" si="0"/>
        <v>0</v>
      </c>
      <c r="R39" s="101">
        <f t="shared" si="1"/>
        <v>0</v>
      </c>
      <c r="S39" s="95">
        <f>P39/P39</f>
        <v>1</v>
      </c>
    </row>
    <row r="40" spans="2:19" x14ac:dyDescent="0.25">
      <c r="B40" s="96" t="s">
        <v>62</v>
      </c>
      <c r="C40" s="97">
        <v>23</v>
      </c>
      <c r="D40" s="97">
        <v>11</v>
      </c>
      <c r="E40" s="97">
        <v>12</v>
      </c>
      <c r="F40" s="97">
        <v>17</v>
      </c>
      <c r="G40" s="97">
        <v>19</v>
      </c>
      <c r="H40" s="97">
        <v>20</v>
      </c>
      <c r="I40" s="98">
        <f t="shared" si="2"/>
        <v>5.2631578947368363E-2</v>
      </c>
      <c r="J40" s="97">
        <f t="shared" si="3"/>
        <v>1</v>
      </c>
      <c r="K40" s="98">
        <f>H40/H39</f>
        <v>1</v>
      </c>
      <c r="L40" s="97">
        <v>12</v>
      </c>
      <c r="M40" s="97">
        <v>17</v>
      </c>
      <c r="N40" s="97">
        <v>18</v>
      </c>
      <c r="O40" s="97">
        <v>20</v>
      </c>
      <c r="P40" s="97">
        <v>20</v>
      </c>
      <c r="Q40" s="98">
        <f t="shared" si="0"/>
        <v>0</v>
      </c>
      <c r="R40" s="97">
        <f t="shared" si="1"/>
        <v>0</v>
      </c>
      <c r="S40" s="98">
        <f>P40/P39</f>
        <v>1</v>
      </c>
    </row>
    <row r="41" spans="2:19" x14ac:dyDescent="0.25">
      <c r="B41" s="99" t="s">
        <v>63</v>
      </c>
      <c r="C41" s="53">
        <v>5</v>
      </c>
      <c r="D41" s="53">
        <v>4</v>
      </c>
      <c r="E41" s="53">
        <v>7</v>
      </c>
      <c r="F41" s="53">
        <v>7</v>
      </c>
      <c r="G41" s="53">
        <v>7</v>
      </c>
      <c r="H41" s="53">
        <v>7</v>
      </c>
      <c r="I41" s="100">
        <f t="shared" si="2"/>
        <v>0</v>
      </c>
      <c r="J41" s="53">
        <f t="shared" si="3"/>
        <v>0</v>
      </c>
      <c r="K41" s="100">
        <f>H41/H39</f>
        <v>0.35</v>
      </c>
      <c r="L41" s="53">
        <v>7</v>
      </c>
      <c r="M41" s="53">
        <v>7</v>
      </c>
      <c r="N41" s="53">
        <v>7</v>
      </c>
      <c r="O41" s="53">
        <v>7</v>
      </c>
      <c r="P41" s="53">
        <v>8</v>
      </c>
      <c r="Q41" s="100">
        <f t="shared" si="0"/>
        <v>0.14285714285714279</v>
      </c>
      <c r="R41" s="53">
        <f t="shared" si="1"/>
        <v>1</v>
      </c>
      <c r="S41" s="100">
        <f>P41/P39</f>
        <v>0.4</v>
      </c>
    </row>
    <row r="42" spans="2:19" x14ac:dyDescent="0.25">
      <c r="B42" s="99" t="s">
        <v>64</v>
      </c>
      <c r="C42" s="53">
        <v>18</v>
      </c>
      <c r="D42" s="53">
        <v>7</v>
      </c>
      <c r="E42" s="53">
        <v>6</v>
      </c>
      <c r="F42" s="53">
        <v>10</v>
      </c>
      <c r="G42" s="53">
        <v>12</v>
      </c>
      <c r="H42" s="53">
        <v>13</v>
      </c>
      <c r="I42" s="100">
        <f t="shared" si="2"/>
        <v>8.3333333333333259E-2</v>
      </c>
      <c r="J42" s="53">
        <f t="shared" si="3"/>
        <v>1</v>
      </c>
      <c r="K42" s="100">
        <f>H42/H39</f>
        <v>0.65</v>
      </c>
      <c r="L42" s="53">
        <v>5</v>
      </c>
      <c r="M42" s="53">
        <v>10</v>
      </c>
      <c r="N42" s="53">
        <v>11</v>
      </c>
      <c r="O42" s="53">
        <v>13</v>
      </c>
      <c r="P42" s="53">
        <v>12</v>
      </c>
      <c r="Q42" s="100">
        <f t="shared" si="0"/>
        <v>-7.6923076923076872E-2</v>
      </c>
      <c r="R42" s="53">
        <f t="shared" si="1"/>
        <v>-1</v>
      </c>
      <c r="S42" s="100">
        <f>P42/P39</f>
        <v>0.6</v>
      </c>
    </row>
    <row r="43" spans="2:19" x14ac:dyDescent="0.25">
      <c r="B43" s="93" t="s">
        <v>54</v>
      </c>
      <c r="C43" s="101">
        <v>19</v>
      </c>
      <c r="D43" s="101">
        <v>9</v>
      </c>
      <c r="E43" s="101">
        <v>11</v>
      </c>
      <c r="F43" s="101">
        <v>14</v>
      </c>
      <c r="G43" s="101">
        <v>14</v>
      </c>
      <c r="H43" s="101">
        <v>14</v>
      </c>
      <c r="I43" s="102">
        <f t="shared" si="2"/>
        <v>0</v>
      </c>
      <c r="J43" s="101">
        <f t="shared" si="3"/>
        <v>0</v>
      </c>
      <c r="K43" s="95">
        <f>H43/H43</f>
        <v>1</v>
      </c>
      <c r="L43" s="101">
        <v>9</v>
      </c>
      <c r="M43" s="101">
        <v>14</v>
      </c>
      <c r="N43" s="101">
        <v>13</v>
      </c>
      <c r="O43" s="101">
        <v>14</v>
      </c>
      <c r="P43" s="101">
        <v>15</v>
      </c>
      <c r="Q43" s="102">
        <f t="shared" si="0"/>
        <v>7.1428571428571397E-2</v>
      </c>
      <c r="R43" s="101">
        <f t="shared" si="1"/>
        <v>1</v>
      </c>
      <c r="S43" s="95">
        <f>P43/P43</f>
        <v>1</v>
      </c>
    </row>
    <row r="44" spans="2:19" x14ac:dyDescent="0.25">
      <c r="B44" s="96" t="s">
        <v>62</v>
      </c>
      <c r="C44" s="97">
        <v>7</v>
      </c>
      <c r="D44" s="97">
        <v>4</v>
      </c>
      <c r="E44" s="97">
        <v>5</v>
      </c>
      <c r="F44" s="97">
        <v>8</v>
      </c>
      <c r="G44" s="97">
        <v>8</v>
      </c>
      <c r="H44" s="97">
        <v>8</v>
      </c>
      <c r="I44" s="98">
        <f t="shared" si="2"/>
        <v>0</v>
      </c>
      <c r="J44" s="97">
        <f t="shared" si="3"/>
        <v>0</v>
      </c>
      <c r="K44" s="98">
        <f>H44/H43</f>
        <v>0.5714285714285714</v>
      </c>
      <c r="L44" s="97">
        <v>4</v>
      </c>
      <c r="M44" s="97">
        <v>8</v>
      </c>
      <c r="N44" s="97">
        <v>7</v>
      </c>
      <c r="O44" s="97">
        <v>8</v>
      </c>
      <c r="P44" s="97">
        <v>8</v>
      </c>
      <c r="Q44" s="98">
        <f t="shared" si="0"/>
        <v>0</v>
      </c>
      <c r="R44" s="97">
        <f t="shared" si="1"/>
        <v>0</v>
      </c>
      <c r="S44" s="98">
        <f>P44/P43</f>
        <v>0.53333333333333333</v>
      </c>
    </row>
    <row r="45" spans="2:19" x14ac:dyDescent="0.25">
      <c r="B45" s="99" t="s">
        <v>63</v>
      </c>
      <c r="C45" s="53">
        <v>5</v>
      </c>
      <c r="D45" s="53">
        <v>0</v>
      </c>
      <c r="E45" s="53">
        <v>4</v>
      </c>
      <c r="F45" s="53">
        <v>6</v>
      </c>
      <c r="G45" s="53">
        <v>6</v>
      </c>
      <c r="H45" s="53">
        <v>6</v>
      </c>
      <c r="I45" s="100">
        <f t="shared" si="2"/>
        <v>0</v>
      </c>
      <c r="J45" s="53">
        <f t="shared" si="3"/>
        <v>0</v>
      </c>
      <c r="K45" s="100">
        <f>H45/H43</f>
        <v>0.42857142857142855</v>
      </c>
      <c r="L45" s="53">
        <v>0</v>
      </c>
      <c r="M45" s="53">
        <v>6</v>
      </c>
      <c r="N45" s="53">
        <v>5</v>
      </c>
      <c r="O45" s="53">
        <v>6</v>
      </c>
      <c r="P45" s="53">
        <v>6</v>
      </c>
      <c r="Q45" s="100">
        <f t="shared" si="0"/>
        <v>0</v>
      </c>
      <c r="R45" s="53">
        <f t="shared" si="1"/>
        <v>0</v>
      </c>
      <c r="S45" s="100">
        <f>P45/P43</f>
        <v>0.4</v>
      </c>
    </row>
    <row r="46" spans="2:19" x14ac:dyDescent="0.25">
      <c r="B46" s="99" t="s">
        <v>64</v>
      </c>
      <c r="C46" s="53">
        <v>2</v>
      </c>
      <c r="D46" s="53">
        <v>0</v>
      </c>
      <c r="E46" s="53">
        <v>2</v>
      </c>
      <c r="F46" s="53">
        <v>2</v>
      </c>
      <c r="G46" s="53">
        <v>2</v>
      </c>
      <c r="H46" s="53">
        <v>2</v>
      </c>
      <c r="I46" s="100">
        <f t="shared" si="2"/>
        <v>0</v>
      </c>
      <c r="J46" s="53">
        <f t="shared" si="3"/>
        <v>0</v>
      </c>
      <c r="K46" s="100">
        <f>H46/H43</f>
        <v>0.14285714285714285</v>
      </c>
      <c r="L46" s="53">
        <v>0</v>
      </c>
      <c r="M46" s="53">
        <v>2</v>
      </c>
      <c r="N46" s="53">
        <v>2</v>
      </c>
      <c r="O46" s="53">
        <v>2</v>
      </c>
      <c r="P46" s="53">
        <v>2</v>
      </c>
      <c r="Q46" s="100">
        <f t="shared" si="0"/>
        <v>0</v>
      </c>
      <c r="R46" s="53">
        <f t="shared" si="1"/>
        <v>0</v>
      </c>
      <c r="S46" s="100">
        <f>P46/P43</f>
        <v>0.13333333333333333</v>
      </c>
    </row>
    <row r="47" spans="2:19" x14ac:dyDescent="0.25">
      <c r="B47" s="96" t="s">
        <v>65</v>
      </c>
      <c r="C47" s="97">
        <v>12</v>
      </c>
      <c r="D47" s="97">
        <v>5</v>
      </c>
      <c r="E47" s="97">
        <v>6</v>
      </c>
      <c r="F47" s="97">
        <v>6</v>
      </c>
      <c r="G47" s="97">
        <v>6</v>
      </c>
      <c r="H47" s="97">
        <v>6</v>
      </c>
      <c r="I47" s="98">
        <f t="shared" si="2"/>
        <v>0</v>
      </c>
      <c r="J47" s="97">
        <f t="shared" si="3"/>
        <v>0</v>
      </c>
      <c r="K47" s="98">
        <f>H47/H43</f>
        <v>0.42857142857142855</v>
      </c>
      <c r="L47" s="97">
        <v>5</v>
      </c>
      <c r="M47" s="97">
        <v>6</v>
      </c>
      <c r="N47" s="97">
        <v>6</v>
      </c>
      <c r="O47" s="97">
        <v>6</v>
      </c>
      <c r="P47" s="97">
        <v>7</v>
      </c>
      <c r="Q47" s="98">
        <f t="shared" si="0"/>
        <v>0.16666666666666674</v>
      </c>
      <c r="R47" s="97">
        <f t="shared" si="1"/>
        <v>1</v>
      </c>
      <c r="S47" s="98">
        <f>P47/P43</f>
        <v>0.46666666666666667</v>
      </c>
    </row>
    <row r="48" spans="2:19" x14ac:dyDescent="0.25">
      <c r="B48" s="93" t="s">
        <v>55</v>
      </c>
      <c r="C48" s="101">
        <v>22</v>
      </c>
      <c r="D48" s="101">
        <v>11</v>
      </c>
      <c r="E48" s="101">
        <v>13</v>
      </c>
      <c r="F48" s="101">
        <v>16</v>
      </c>
      <c r="G48" s="101">
        <v>16</v>
      </c>
      <c r="H48" s="101">
        <v>18</v>
      </c>
      <c r="I48" s="102">
        <f t="shared" si="2"/>
        <v>0.125</v>
      </c>
      <c r="J48" s="101">
        <f t="shared" si="3"/>
        <v>2</v>
      </c>
      <c r="K48" s="95">
        <f>H48/H48</f>
        <v>1</v>
      </c>
      <c r="L48" s="101">
        <v>13</v>
      </c>
      <c r="M48" s="101">
        <v>16</v>
      </c>
      <c r="N48" s="101">
        <v>15</v>
      </c>
      <c r="O48" s="101">
        <v>18</v>
      </c>
      <c r="P48" s="101">
        <v>19</v>
      </c>
      <c r="Q48" s="102">
        <f t="shared" si="0"/>
        <v>5.555555555555558E-2</v>
      </c>
      <c r="R48" s="101">
        <f t="shared" si="1"/>
        <v>1</v>
      </c>
      <c r="S48" s="95">
        <f>P48/P48</f>
        <v>1</v>
      </c>
    </row>
    <row r="49" spans="2:19" x14ac:dyDescent="0.25">
      <c r="B49" s="96" t="s">
        <v>62</v>
      </c>
      <c r="C49" s="97">
        <v>18</v>
      </c>
      <c r="D49" s="97">
        <v>9</v>
      </c>
      <c r="E49" s="97">
        <v>12</v>
      </c>
      <c r="F49" s="97">
        <v>14</v>
      </c>
      <c r="G49" s="97">
        <v>13</v>
      </c>
      <c r="H49" s="97">
        <v>15</v>
      </c>
      <c r="I49" s="98">
        <f t="shared" si="2"/>
        <v>0.15384615384615374</v>
      </c>
      <c r="J49" s="97">
        <f t="shared" si="3"/>
        <v>2</v>
      </c>
      <c r="K49" s="98">
        <f>H49/H48</f>
        <v>0.83333333333333337</v>
      </c>
      <c r="L49" s="97">
        <v>12</v>
      </c>
      <c r="M49" s="97">
        <v>14</v>
      </c>
      <c r="N49" s="97">
        <v>12</v>
      </c>
      <c r="O49" s="97">
        <v>15</v>
      </c>
      <c r="P49" s="97">
        <v>16</v>
      </c>
      <c r="Q49" s="98">
        <f t="shared" si="0"/>
        <v>6.6666666666666652E-2</v>
      </c>
      <c r="R49" s="97">
        <f t="shared" si="1"/>
        <v>1</v>
      </c>
      <c r="S49" s="98">
        <f>P49/P48</f>
        <v>0.84210526315789469</v>
      </c>
    </row>
    <row r="50" spans="2:19" x14ac:dyDescent="0.25">
      <c r="B50" s="99" t="s">
        <v>63</v>
      </c>
      <c r="C50" s="53">
        <v>9</v>
      </c>
      <c r="D50" s="53">
        <v>5</v>
      </c>
      <c r="E50" s="53">
        <v>8</v>
      </c>
      <c r="F50" s="53">
        <v>8</v>
      </c>
      <c r="G50" s="53">
        <v>8</v>
      </c>
      <c r="H50" s="53">
        <v>8</v>
      </c>
      <c r="I50" s="100">
        <f t="shared" si="2"/>
        <v>0</v>
      </c>
      <c r="J50" s="53">
        <f t="shared" si="3"/>
        <v>0</v>
      </c>
      <c r="K50" s="100">
        <f>H50/H48</f>
        <v>0.44444444444444442</v>
      </c>
      <c r="L50" s="53">
        <v>8</v>
      </c>
      <c r="M50" s="53">
        <v>8</v>
      </c>
      <c r="N50" s="53">
        <v>7</v>
      </c>
      <c r="O50" s="53">
        <v>8</v>
      </c>
      <c r="P50" s="53">
        <v>8</v>
      </c>
      <c r="Q50" s="100">
        <f t="shared" si="0"/>
        <v>0</v>
      </c>
      <c r="R50" s="53">
        <f t="shared" si="1"/>
        <v>0</v>
      </c>
      <c r="S50" s="100">
        <f>P50/P48</f>
        <v>0.42105263157894735</v>
      </c>
    </row>
    <row r="51" spans="2:19" x14ac:dyDescent="0.25">
      <c r="B51" s="99" t="s">
        <v>64</v>
      </c>
      <c r="C51" s="53">
        <v>9</v>
      </c>
      <c r="D51" s="53">
        <v>4</v>
      </c>
      <c r="E51" s="53">
        <v>4</v>
      </c>
      <c r="F51" s="53">
        <v>6</v>
      </c>
      <c r="G51" s="53">
        <v>5</v>
      </c>
      <c r="H51" s="53">
        <v>7</v>
      </c>
      <c r="I51" s="100">
        <f t="shared" si="2"/>
        <v>0.39999999999999991</v>
      </c>
      <c r="J51" s="53">
        <f t="shared" si="3"/>
        <v>2</v>
      </c>
      <c r="K51" s="100">
        <f>H51/H48</f>
        <v>0.3888888888888889</v>
      </c>
      <c r="L51" s="53">
        <v>4</v>
      </c>
      <c r="M51" s="53">
        <v>6</v>
      </c>
      <c r="N51" s="53">
        <v>5</v>
      </c>
      <c r="O51" s="53">
        <v>7</v>
      </c>
      <c r="P51" s="53">
        <v>8</v>
      </c>
      <c r="Q51" s="100">
        <f t="shared" si="0"/>
        <v>0.14285714285714279</v>
      </c>
      <c r="R51" s="53">
        <f t="shared" si="1"/>
        <v>1</v>
      </c>
      <c r="S51" s="100">
        <f>P51/P48</f>
        <v>0.42105263157894735</v>
      </c>
    </row>
    <row r="52" spans="2:19" x14ac:dyDescent="0.25">
      <c r="B52" s="96" t="s">
        <v>65</v>
      </c>
      <c r="C52" s="97">
        <v>5</v>
      </c>
      <c r="D52" s="97">
        <v>2</v>
      </c>
      <c r="E52" s="97">
        <v>2</v>
      </c>
      <c r="F52" s="97">
        <v>3</v>
      </c>
      <c r="G52" s="97">
        <v>4</v>
      </c>
      <c r="H52" s="97">
        <v>4</v>
      </c>
      <c r="I52" s="98">
        <f t="shared" si="2"/>
        <v>0</v>
      </c>
      <c r="J52" s="97">
        <f t="shared" si="3"/>
        <v>0</v>
      </c>
      <c r="K52" s="98">
        <f>H52/H48</f>
        <v>0.22222222222222221</v>
      </c>
      <c r="L52" s="97">
        <v>2</v>
      </c>
      <c r="M52" s="97">
        <v>3</v>
      </c>
      <c r="N52" s="97">
        <v>4</v>
      </c>
      <c r="O52" s="97">
        <v>4</v>
      </c>
      <c r="P52" s="97">
        <v>4</v>
      </c>
      <c r="Q52" s="98">
        <f t="shared" si="0"/>
        <v>0</v>
      </c>
      <c r="R52" s="97">
        <f t="shared" si="1"/>
        <v>0</v>
      </c>
      <c r="S52" s="98">
        <f>P52/P48</f>
        <v>0.21052631578947367</v>
      </c>
    </row>
    <row r="53" spans="2:19" ht="4.5" customHeight="1" x14ac:dyDescent="0.25">
      <c r="B53" s="103"/>
      <c r="C53" s="104"/>
      <c r="D53" s="104"/>
      <c r="E53" s="104"/>
      <c r="F53" s="104"/>
      <c r="G53" s="105"/>
      <c r="H53" s="104"/>
      <c r="I53" s="106"/>
      <c r="J53" s="104"/>
      <c r="K53" s="106"/>
      <c r="L53" s="104"/>
      <c r="M53" s="104"/>
      <c r="N53" s="104"/>
      <c r="O53" s="104"/>
      <c r="P53" s="106"/>
      <c r="Q53" s="106"/>
      <c r="R53" s="106"/>
    </row>
    <row r="54" spans="2:19" x14ac:dyDescent="0.25">
      <c r="B54" s="107" t="s">
        <v>57</v>
      </c>
      <c r="C54" s="107"/>
      <c r="D54" s="107"/>
      <c r="E54" s="107"/>
      <c r="F54" s="107"/>
      <c r="G54" s="107"/>
      <c r="H54" s="107"/>
      <c r="I54" s="107"/>
      <c r="J54" s="107"/>
      <c r="K54" s="107"/>
      <c r="L54" s="107"/>
      <c r="M54" s="107"/>
      <c r="N54" s="107"/>
      <c r="O54" s="107"/>
      <c r="P54" s="107"/>
      <c r="Q54" s="107"/>
      <c r="R54" s="107"/>
    </row>
  </sheetData>
  <mergeCells count="2">
    <mergeCell ref="C5:H5"/>
    <mergeCell ref="L5:P5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718F58-DAC1-4C4D-9F44-9BDAA236411F}">
  <sheetPr>
    <tabColor theme="7"/>
  </sheetPr>
  <dimension ref="A4:A24"/>
  <sheetViews>
    <sheetView showGridLines="0" workbookViewId="0"/>
  </sheetViews>
  <sheetFormatPr baseColWidth="10" defaultRowHeight="15" x14ac:dyDescent="0.25"/>
  <sheetData>
    <row r="4" ht="15" customHeight="1" x14ac:dyDescent="0.25"/>
    <row r="5" ht="15" customHeight="1" x14ac:dyDescent="0.25"/>
    <row r="6" ht="15" customHeight="1" x14ac:dyDescent="0.25"/>
    <row r="7" ht="15" customHeight="1" x14ac:dyDescent="0.25"/>
    <row r="8" ht="15" customHeight="1" x14ac:dyDescent="0.25"/>
    <row r="9" ht="15" customHeight="1" x14ac:dyDescent="0.25"/>
    <row r="10" ht="15" customHeight="1" x14ac:dyDescent="0.25"/>
    <row r="11" ht="15" customHeight="1" x14ac:dyDescent="0.25"/>
    <row r="12" ht="15" customHeight="1" x14ac:dyDescent="0.25"/>
    <row r="13" ht="15" customHeight="1" x14ac:dyDescent="0.25"/>
    <row r="14" ht="15" customHeight="1" x14ac:dyDescent="0.25"/>
    <row r="15" ht="15" customHeight="1" x14ac:dyDescent="0.25"/>
    <row r="16" ht="15" customHeight="1" x14ac:dyDescent="0.25"/>
    <row r="17" ht="15" customHeight="1" x14ac:dyDescent="0.25"/>
    <row r="18" ht="15" customHeight="1" x14ac:dyDescent="0.25"/>
    <row r="19" ht="15" customHeight="1" x14ac:dyDescent="0.25"/>
    <row r="20" ht="15" customHeight="1" x14ac:dyDescent="0.25"/>
    <row r="21" ht="15" customHeight="1" x14ac:dyDescent="0.25"/>
    <row r="22" ht="15" customHeight="1" x14ac:dyDescent="0.25"/>
    <row r="23" ht="15" customHeight="1" x14ac:dyDescent="0.25"/>
    <row r="24" ht="15" customHeight="1" x14ac:dyDescent="0.25"/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52C7B-1568-430F-90F1-77F86492A925}">
  <sheetPr>
    <tabColor theme="7" tint="0.79998168889431442"/>
  </sheetPr>
  <dimension ref="A4:O290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14" max="14" width="13.5703125" bestFit="1" customWidth="1"/>
  </cols>
  <sheetData>
    <row r="4" spans="1:15" ht="48.75" customHeight="1" thickBot="1" x14ac:dyDescent="0.3">
      <c r="B4" s="278" t="s">
        <v>235</v>
      </c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1" t="s">
        <v>68</v>
      </c>
    </row>
    <row r="5" spans="1:15" ht="10.5" customHeight="1" thickBot="1" x14ac:dyDescent="0.3">
      <c r="B5" s="108"/>
      <c r="C5" s="109"/>
      <c r="D5" s="108"/>
      <c r="E5" s="108"/>
      <c r="F5" s="108"/>
      <c r="G5" s="108"/>
      <c r="H5" s="108"/>
      <c r="I5" s="108"/>
      <c r="J5" s="108"/>
      <c r="K5" s="108"/>
      <c r="L5" s="108"/>
      <c r="M5" s="4"/>
      <c r="N5" s="4"/>
      <c r="O5" s="1" t="s">
        <v>69</v>
      </c>
    </row>
    <row r="6" spans="1:15" ht="22.5" thickTop="1" thickBot="1" x14ac:dyDescent="0.3">
      <c r="B6" s="110" t="s">
        <v>32</v>
      </c>
      <c r="C6" s="303" t="s">
        <v>70</v>
      </c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</row>
    <row r="7" spans="1:15" ht="22.5" thickTop="1" thickBot="1" x14ac:dyDescent="0.3">
      <c r="B7" s="111"/>
      <c r="C7" s="305">
        <f>E7-1</f>
        <v>2020</v>
      </c>
      <c r="D7" s="306"/>
      <c r="E7" s="307">
        <f>G7-1</f>
        <v>2021</v>
      </c>
      <c r="F7" s="306"/>
      <c r="G7" s="307">
        <f>I7-1</f>
        <v>2022</v>
      </c>
      <c r="H7" s="306"/>
      <c r="I7" s="307">
        <f>K7-1</f>
        <v>2023</v>
      </c>
      <c r="J7" s="306"/>
      <c r="K7" s="307">
        <f>M7-1</f>
        <v>2024</v>
      </c>
      <c r="L7" s="306"/>
      <c r="M7" s="307">
        <v>2025</v>
      </c>
      <c r="N7" s="308"/>
    </row>
    <row r="8" spans="1:15" ht="16.5" thickTop="1" thickBot="1" x14ac:dyDescent="0.3">
      <c r="B8" s="87"/>
      <c r="C8" s="115" t="s">
        <v>71</v>
      </c>
      <c r="D8" s="116" t="str">
        <f>CONCATENATE("var ",RIGHT(C7,2),"/",RIGHT(C7-1,2))</f>
        <v>var 20/19</v>
      </c>
      <c r="E8" s="117" t="s">
        <v>71</v>
      </c>
      <c r="F8" s="116" t="str">
        <f>CONCATENATE("var ",RIGHT(E7,2),"/",RIGHT(E7-1,2))</f>
        <v>var 21/20</v>
      </c>
      <c r="G8" s="117" t="s">
        <v>71</v>
      </c>
      <c r="H8" s="116" t="str">
        <f>CONCATENATE("var ",RIGHT(G7,2),"/",RIGHT(G7-1,2))</f>
        <v>var 22/21</v>
      </c>
      <c r="I8" s="117" t="s">
        <v>71</v>
      </c>
      <c r="J8" s="116" t="str">
        <f>CONCATENATE("var ",RIGHT(I7,2),"/",RIGHT(I7-1,2))</f>
        <v>var 23/22</v>
      </c>
      <c r="K8" s="117" t="s">
        <v>71</v>
      </c>
      <c r="L8" s="116" t="str">
        <f>CONCATENATE("var ",RIGHT(K7,2),"/",RIGHT(K7-1,2))</f>
        <v>var 24/23</v>
      </c>
      <c r="M8" s="117" t="s">
        <v>71</v>
      </c>
      <c r="N8" s="116" t="str">
        <f>CONCATENATE("var ",RIGHT(M7,2),"/",RIGHT(M7-1,2))</f>
        <v>var 25/24</v>
      </c>
    </row>
    <row r="9" spans="1:15" x14ac:dyDescent="0.25">
      <c r="A9" s="1" t="s">
        <v>72</v>
      </c>
      <c r="B9" s="118" t="s">
        <v>73</v>
      </c>
      <c r="C9" s="119">
        <v>20553</v>
      </c>
      <c r="D9" s="120">
        <v>0</v>
      </c>
      <c r="E9" s="119">
        <v>4767</v>
      </c>
      <c r="F9" s="120">
        <f t="shared" ref="F9:L21" si="0">IFERROR(E9/C9-1,"-")</f>
        <v>-0.76806305648810391</v>
      </c>
      <c r="G9" s="119">
        <v>14146</v>
      </c>
      <c r="H9" s="120">
        <f>IFERROR(G9/E9-1,"-")</f>
        <v>1.9674847912733373</v>
      </c>
      <c r="I9" s="119">
        <v>23609</v>
      </c>
      <c r="J9" s="120">
        <f t="shared" si="0"/>
        <v>0.66895235402233855</v>
      </c>
      <c r="K9" s="119">
        <v>23867</v>
      </c>
      <c r="L9" s="120">
        <f t="shared" si="0"/>
        <v>1.0928035918505552E-2</v>
      </c>
      <c r="M9" s="119">
        <v>24602</v>
      </c>
      <c r="N9" s="120">
        <f t="shared" ref="N9:N14" si="1">IFERROR(M9/K9-1,"-")</f>
        <v>3.0795659278501697E-2</v>
      </c>
    </row>
    <row r="10" spans="1:15" x14ac:dyDescent="0.25">
      <c r="A10" s="1" t="s">
        <v>74</v>
      </c>
      <c r="B10" s="118" t="s">
        <v>75</v>
      </c>
      <c r="C10" s="119">
        <v>23364</v>
      </c>
      <c r="D10" s="120">
        <v>0.11634574036026568</v>
      </c>
      <c r="E10" s="119">
        <v>8041</v>
      </c>
      <c r="F10" s="120">
        <f t="shared" si="0"/>
        <v>-0.65583804143126179</v>
      </c>
      <c r="G10" s="119">
        <v>17059</v>
      </c>
      <c r="H10" s="120">
        <f t="shared" si="0"/>
        <v>1.1215023007088671</v>
      </c>
      <c r="I10" s="119">
        <v>22775</v>
      </c>
      <c r="J10" s="120">
        <f t="shared" si="0"/>
        <v>0.33507239580280213</v>
      </c>
      <c r="K10" s="119">
        <v>22625</v>
      </c>
      <c r="L10" s="120">
        <f t="shared" si="0"/>
        <v>-6.5861690450055299E-3</v>
      </c>
      <c r="M10" s="119">
        <v>24926</v>
      </c>
      <c r="N10" s="120">
        <f t="shared" si="1"/>
        <v>0.10170165745856363</v>
      </c>
    </row>
    <row r="11" spans="1:15" x14ac:dyDescent="0.25">
      <c r="A11" s="1" t="s">
        <v>76</v>
      </c>
      <c r="B11" s="118" t="s">
        <v>77</v>
      </c>
      <c r="C11" s="119">
        <v>8936</v>
      </c>
      <c r="D11" s="120">
        <v>-0.58969649662518941</v>
      </c>
      <c r="E11" s="119">
        <v>10312</v>
      </c>
      <c r="F11" s="120">
        <f t="shared" si="0"/>
        <v>0.15398388540734098</v>
      </c>
      <c r="G11" s="119">
        <v>20054</v>
      </c>
      <c r="H11" s="120">
        <f t="shared" si="0"/>
        <v>0.94472459270752518</v>
      </c>
      <c r="I11" s="119">
        <v>25174</v>
      </c>
      <c r="J11" s="120">
        <f t="shared" si="0"/>
        <v>0.25531066121472024</v>
      </c>
      <c r="K11" s="119">
        <v>22971</v>
      </c>
      <c r="L11" s="120">
        <f t="shared" si="0"/>
        <v>-8.7510923969174592E-2</v>
      </c>
      <c r="M11" s="119">
        <v>26883</v>
      </c>
      <c r="N11" s="120">
        <f t="shared" si="1"/>
        <v>0.17030168473292417</v>
      </c>
    </row>
    <row r="12" spans="1:15" x14ac:dyDescent="0.25">
      <c r="A12" s="1" t="s">
        <v>78</v>
      </c>
      <c r="B12" s="118" t="s">
        <v>79</v>
      </c>
      <c r="C12" s="119">
        <v>0</v>
      </c>
      <c r="D12" s="120">
        <v>-1</v>
      </c>
      <c r="E12" s="119">
        <v>9597</v>
      </c>
      <c r="F12" s="120" t="str">
        <f t="shared" si="0"/>
        <v>-</v>
      </c>
      <c r="G12" s="119">
        <v>17340</v>
      </c>
      <c r="H12" s="120">
        <f t="shared" si="0"/>
        <v>0.8068146295717411</v>
      </c>
      <c r="I12" s="119">
        <v>19154</v>
      </c>
      <c r="J12" s="120">
        <f t="shared" si="0"/>
        <v>0.10461361014994242</v>
      </c>
      <c r="K12" s="119">
        <v>19029</v>
      </c>
      <c r="L12" s="120">
        <f t="shared" si="0"/>
        <v>-6.5260519995823385E-3</v>
      </c>
      <c r="M12" s="119">
        <v>20857</v>
      </c>
      <c r="N12" s="120">
        <f t="shared" si="1"/>
        <v>9.6063902464659234E-2</v>
      </c>
    </row>
    <row r="13" spans="1:15" x14ac:dyDescent="0.25">
      <c r="A13" s="1" t="s">
        <v>80</v>
      </c>
      <c r="B13" s="118" t="s">
        <v>81</v>
      </c>
      <c r="C13" s="119">
        <v>0</v>
      </c>
      <c r="D13" s="120">
        <v>-1</v>
      </c>
      <c r="E13" s="119">
        <v>12545</v>
      </c>
      <c r="F13" s="120" t="str">
        <f t="shared" si="0"/>
        <v>-</v>
      </c>
      <c r="G13" s="119">
        <v>18214</v>
      </c>
      <c r="H13" s="120">
        <f t="shared" si="0"/>
        <v>0.45189318453567151</v>
      </c>
      <c r="I13" s="119">
        <v>17881</v>
      </c>
      <c r="J13" s="120">
        <f t="shared" si="0"/>
        <v>-1.828263972768196E-2</v>
      </c>
      <c r="K13" s="119">
        <v>17439</v>
      </c>
      <c r="L13" s="120">
        <f t="shared" si="0"/>
        <v>-2.4718975448800418E-2</v>
      </c>
      <c r="M13" s="119">
        <v>22620</v>
      </c>
      <c r="N13" s="120">
        <f t="shared" si="1"/>
        <v>0.29709272320660585</v>
      </c>
    </row>
    <row r="14" spans="1:15" x14ac:dyDescent="0.25">
      <c r="A14" s="1" t="s">
        <v>82</v>
      </c>
      <c r="B14" s="118" t="s">
        <v>83</v>
      </c>
      <c r="C14" s="119">
        <v>0</v>
      </c>
      <c r="D14" s="120">
        <v>-1</v>
      </c>
      <c r="E14" s="119">
        <v>13541</v>
      </c>
      <c r="F14" s="120" t="str">
        <f t="shared" si="0"/>
        <v>-</v>
      </c>
      <c r="G14" s="119">
        <v>17608</v>
      </c>
      <c r="H14" s="120">
        <f t="shared" si="0"/>
        <v>0.30034709401078197</v>
      </c>
      <c r="I14" s="119">
        <v>17983</v>
      </c>
      <c r="J14" s="120">
        <f t="shared" si="0"/>
        <v>2.1297137664697763E-2</v>
      </c>
      <c r="K14" s="119">
        <v>19479</v>
      </c>
      <c r="L14" s="120">
        <f t="shared" si="0"/>
        <v>8.3189679141411288E-2</v>
      </c>
      <c r="M14" s="119">
        <v>20873</v>
      </c>
      <c r="N14" s="120">
        <f t="shared" si="1"/>
        <v>7.1564248678063658E-2</v>
      </c>
    </row>
    <row r="15" spans="1:15" x14ac:dyDescent="0.25">
      <c r="A15" s="1" t="s">
        <v>84</v>
      </c>
      <c r="B15" s="118" t="s">
        <v>85</v>
      </c>
      <c r="C15" s="119">
        <v>0</v>
      </c>
      <c r="D15" s="120">
        <v>-1</v>
      </c>
      <c r="E15" s="119">
        <v>14398</v>
      </c>
      <c r="F15" s="120" t="str">
        <f t="shared" si="0"/>
        <v>-</v>
      </c>
      <c r="G15" s="119">
        <v>18083</v>
      </c>
      <c r="H15" s="120">
        <f t="shared" si="0"/>
        <v>0.25593832476732881</v>
      </c>
      <c r="I15" s="119">
        <v>16810</v>
      </c>
      <c r="J15" s="120">
        <f t="shared" si="0"/>
        <v>-7.0397611015871275E-2</v>
      </c>
      <c r="K15" s="119">
        <v>21632</v>
      </c>
      <c r="L15" s="120">
        <f t="shared" si="0"/>
        <v>0.28685306365258767</v>
      </c>
      <c r="M15" s="119"/>
      <c r="N15" s="120"/>
    </row>
    <row r="16" spans="1:15" x14ac:dyDescent="0.25">
      <c r="A16" s="1" t="s">
        <v>86</v>
      </c>
      <c r="B16" s="118" t="s">
        <v>87</v>
      </c>
      <c r="C16" s="119">
        <v>6776</v>
      </c>
      <c r="D16" s="120">
        <v>-0.50873631552236642</v>
      </c>
      <c r="E16" s="119">
        <v>13925</v>
      </c>
      <c r="F16" s="120">
        <f t="shared" si="0"/>
        <v>1.0550472255017711</v>
      </c>
      <c r="G16" s="119">
        <v>15520</v>
      </c>
      <c r="H16" s="120">
        <f t="shared" si="0"/>
        <v>0.1145421903052064</v>
      </c>
      <c r="I16" s="119">
        <v>14993</v>
      </c>
      <c r="J16" s="120">
        <f t="shared" si="0"/>
        <v>-3.39561855670103E-2</v>
      </c>
      <c r="K16" s="119">
        <v>15201</v>
      </c>
      <c r="L16" s="120">
        <f t="shared" si="0"/>
        <v>1.3873140799039563E-2</v>
      </c>
      <c r="M16" s="119"/>
      <c r="N16" s="120"/>
    </row>
    <row r="17" spans="1:15" x14ac:dyDescent="0.25">
      <c r="A17" s="1" t="s">
        <v>88</v>
      </c>
      <c r="B17" s="118" t="s">
        <v>89</v>
      </c>
      <c r="C17" s="119">
        <v>7423</v>
      </c>
      <c r="D17" s="120">
        <v>-0.53583041520760388</v>
      </c>
      <c r="E17" s="119">
        <v>16473</v>
      </c>
      <c r="F17" s="120">
        <f t="shared" si="0"/>
        <v>1.2191836184830929</v>
      </c>
      <c r="G17" s="119">
        <v>19959</v>
      </c>
      <c r="H17" s="120">
        <f t="shared" si="0"/>
        <v>0.21161901293024954</v>
      </c>
      <c r="I17" s="119">
        <v>15933</v>
      </c>
      <c r="J17" s="120">
        <f t="shared" si="0"/>
        <v>-0.2017135127010371</v>
      </c>
      <c r="K17" s="119">
        <v>19577</v>
      </c>
      <c r="L17" s="120">
        <f t="shared" si="0"/>
        <v>0.22870771355049269</v>
      </c>
      <c r="M17" s="119"/>
      <c r="N17" s="120"/>
    </row>
    <row r="18" spans="1:15" x14ac:dyDescent="0.25">
      <c r="A18" s="1" t="s">
        <v>90</v>
      </c>
      <c r="B18" s="118" t="s">
        <v>91</v>
      </c>
      <c r="C18" s="119">
        <v>9298</v>
      </c>
      <c r="D18" s="120">
        <v>-0.50216844246934733</v>
      </c>
      <c r="E18" s="119">
        <v>19721</v>
      </c>
      <c r="F18" s="120">
        <f t="shared" si="0"/>
        <v>1.1209937620993764</v>
      </c>
      <c r="G18" s="119">
        <v>21932</v>
      </c>
      <c r="H18" s="120">
        <f t="shared" si="0"/>
        <v>0.11211399016277057</v>
      </c>
      <c r="I18" s="119">
        <v>20553</v>
      </c>
      <c r="J18" s="120">
        <f t="shared" si="0"/>
        <v>-6.2876162684661674E-2</v>
      </c>
      <c r="K18" s="119">
        <v>19337</v>
      </c>
      <c r="L18" s="120">
        <f t="shared" si="0"/>
        <v>-5.9164112295042037E-2</v>
      </c>
      <c r="M18" s="119"/>
      <c r="N18" s="120"/>
    </row>
    <row r="19" spans="1:15" x14ac:dyDescent="0.25">
      <c r="A19" s="1" t="s">
        <v>92</v>
      </c>
      <c r="B19" s="118" t="s">
        <v>93</v>
      </c>
      <c r="C19" s="119">
        <v>8104</v>
      </c>
      <c r="D19" s="120">
        <v>-0.62628545077242337</v>
      </c>
      <c r="E19" s="119">
        <v>22740</v>
      </c>
      <c r="F19" s="120">
        <f t="shared" si="0"/>
        <v>1.8060217176702862</v>
      </c>
      <c r="G19" s="119">
        <v>25251</v>
      </c>
      <c r="H19" s="120">
        <f t="shared" si="0"/>
        <v>0.11042216358839041</v>
      </c>
      <c r="I19" s="119">
        <v>23667</v>
      </c>
      <c r="J19" s="120">
        <f t="shared" si="0"/>
        <v>-6.2730188903409756E-2</v>
      </c>
      <c r="K19" s="119">
        <v>25085</v>
      </c>
      <c r="L19" s="120">
        <f t="shared" si="0"/>
        <v>5.9914649089449545E-2</v>
      </c>
      <c r="M19" s="119"/>
      <c r="N19" s="120"/>
    </row>
    <row r="20" spans="1:15" x14ac:dyDescent="0.25">
      <c r="A20" s="1" t="s">
        <v>94</v>
      </c>
      <c r="B20" s="118" t="s">
        <v>95</v>
      </c>
      <c r="C20" s="119">
        <v>6962</v>
      </c>
      <c r="D20" s="120">
        <v>-0.66725612961812364</v>
      </c>
      <c r="E20" s="119">
        <v>18198</v>
      </c>
      <c r="F20" s="120">
        <f t="shared" si="0"/>
        <v>1.6139040505601838</v>
      </c>
      <c r="G20" s="119">
        <v>23965</v>
      </c>
      <c r="H20" s="120">
        <f t="shared" si="0"/>
        <v>0.3169029563688317</v>
      </c>
      <c r="I20" s="119">
        <v>20577</v>
      </c>
      <c r="J20" s="120">
        <f t="shared" si="0"/>
        <v>-0.14137283538493639</v>
      </c>
      <c r="K20" s="119">
        <v>24629</v>
      </c>
      <c r="L20" s="120">
        <f t="shared" si="0"/>
        <v>0.19691889002284113</v>
      </c>
      <c r="M20" s="119"/>
      <c r="N20" s="120"/>
    </row>
    <row r="21" spans="1:15" ht="15.75" x14ac:dyDescent="0.25">
      <c r="A21" s="1" t="s">
        <v>0</v>
      </c>
      <c r="B21" s="121" t="s">
        <v>32</v>
      </c>
      <c r="C21" s="122">
        <v>103516</v>
      </c>
      <c r="D21" s="123">
        <v>-0.53035864165324509</v>
      </c>
      <c r="E21" s="122">
        <v>164258</v>
      </c>
      <c r="F21" s="123">
        <f t="shared" si="0"/>
        <v>0.58678851578499946</v>
      </c>
      <c r="G21" s="122">
        <v>229131</v>
      </c>
      <c r="H21" s="123">
        <f t="shared" si="0"/>
        <v>0.39494575606667559</v>
      </c>
      <c r="I21" s="122">
        <v>239109</v>
      </c>
      <c r="J21" s="123">
        <f t="shared" si="0"/>
        <v>4.3547141155059865E-2</v>
      </c>
      <c r="K21" s="122">
        <v>250871</v>
      </c>
      <c r="L21" s="123">
        <f t="shared" si="0"/>
        <v>4.9190954752853289E-2</v>
      </c>
      <c r="M21" s="122">
        <v>140761</v>
      </c>
      <c r="N21" s="123">
        <v>0.12240650665816122</v>
      </c>
    </row>
    <row r="22" spans="1:15" ht="6" customHeight="1" x14ac:dyDescent="0.25"/>
    <row r="23" spans="1:15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</row>
    <row r="24" spans="1:15" x14ac:dyDescent="0.25">
      <c r="E24" s="124"/>
      <c r="G24" s="124"/>
      <c r="I24" s="124"/>
      <c r="K24" s="124"/>
      <c r="N24" s="81"/>
    </row>
    <row r="26" spans="1:15" ht="48.75" customHeight="1" thickBot="1" x14ac:dyDescent="0.3">
      <c r="B26" s="278" t="s">
        <v>236</v>
      </c>
      <c r="C26" s="278"/>
      <c r="D26" s="278"/>
      <c r="E26" s="278"/>
      <c r="F26" s="278"/>
      <c r="G26" s="278"/>
      <c r="H26" s="278"/>
      <c r="I26" s="278"/>
      <c r="J26" s="278"/>
      <c r="K26" s="278"/>
      <c r="L26" s="278"/>
      <c r="M26" s="278"/>
      <c r="N26" s="278"/>
      <c r="O26" s="1" t="s">
        <v>96</v>
      </c>
    </row>
    <row r="27" spans="1:15" ht="10.5" customHeight="1" thickBot="1" x14ac:dyDescent="0.3">
      <c r="B27" s="108"/>
      <c r="C27" s="109"/>
      <c r="D27" s="108"/>
      <c r="E27" s="108"/>
      <c r="F27" s="108"/>
      <c r="G27" s="108"/>
      <c r="H27" s="108"/>
      <c r="I27" s="108"/>
      <c r="J27" s="108"/>
      <c r="K27" s="108"/>
      <c r="L27" s="108"/>
      <c r="M27" s="4"/>
      <c r="N27" s="4"/>
      <c r="O27" s="1" t="s">
        <v>97</v>
      </c>
    </row>
    <row r="28" spans="1:15" ht="22.5" thickTop="1" thickBot="1" x14ac:dyDescent="0.3">
      <c r="B28" s="125" t="s">
        <v>98</v>
      </c>
      <c r="C28" s="303" t="s">
        <v>99</v>
      </c>
      <c r="D28" s="304"/>
      <c r="E28" s="304"/>
      <c r="F28" s="304"/>
      <c r="G28" s="304"/>
      <c r="H28" s="304"/>
      <c r="I28" s="304"/>
      <c r="J28" s="304"/>
      <c r="K28" s="304"/>
      <c r="L28" s="304"/>
      <c r="M28" s="304"/>
      <c r="N28" s="304"/>
    </row>
    <row r="29" spans="1:15" ht="22.5" thickTop="1" thickBot="1" x14ac:dyDescent="0.3">
      <c r="B29" s="111"/>
      <c r="C29" s="305">
        <f>C$7</f>
        <v>2020</v>
      </c>
      <c r="D29" s="306"/>
      <c r="E29" s="305">
        <f>E$7</f>
        <v>2021</v>
      </c>
      <c r="F29" s="306"/>
      <c r="G29" s="305">
        <f>G$7</f>
        <v>2022</v>
      </c>
      <c r="H29" s="306"/>
      <c r="I29" s="305">
        <f>I$7</f>
        <v>2023</v>
      </c>
      <c r="J29" s="306"/>
      <c r="K29" s="305">
        <f>K$7</f>
        <v>2024</v>
      </c>
      <c r="L29" s="306"/>
      <c r="M29" s="305">
        <f>M$7</f>
        <v>2025</v>
      </c>
      <c r="N29" s="306"/>
    </row>
    <row r="30" spans="1:15" ht="16.5" thickTop="1" thickBot="1" x14ac:dyDescent="0.3">
      <c r="B30" s="87"/>
      <c r="C30" s="115" t="s">
        <v>71</v>
      </c>
      <c r="D30" s="116" t="str">
        <f>CONCATENATE("var ",RIGHT(C29,2),"/",RIGHT(C29-1,2))</f>
        <v>var 20/19</v>
      </c>
      <c r="E30" s="117" t="s">
        <v>71</v>
      </c>
      <c r="F30" s="116" t="str">
        <f>CONCATENATE("var ",RIGHT(E29,2),"/",RIGHT(E29-1,2))</f>
        <v>var 21/20</v>
      </c>
      <c r="G30" s="117" t="s">
        <v>71</v>
      </c>
      <c r="H30" s="116" t="str">
        <f>CONCATENATE("var ",RIGHT(G29,2),"/",RIGHT(G29-1,2))</f>
        <v>var 22/21</v>
      </c>
      <c r="I30" s="117" t="s">
        <v>71</v>
      </c>
      <c r="J30" s="116" t="str">
        <f>CONCATENATE("var ",RIGHT(I29,2),"/",RIGHT(I29-1,2))</f>
        <v>var 23/22</v>
      </c>
      <c r="K30" s="117" t="s">
        <v>71</v>
      </c>
      <c r="L30" s="116" t="str">
        <f>CONCATENATE("var ",RIGHT(K29,2),"/",RIGHT(K29-1,2))</f>
        <v>var 24/23</v>
      </c>
      <c r="M30" s="117" t="s">
        <v>71</v>
      </c>
      <c r="N30" s="116" t="str">
        <f>CONCATENATE("var ",RIGHT(M29,2),"/",RIGHT(M29-1,2))</f>
        <v>var 25/24</v>
      </c>
    </row>
    <row r="31" spans="1:15" x14ac:dyDescent="0.25">
      <c r="B31" s="118" t="s">
        <v>73</v>
      </c>
      <c r="C31" s="119">
        <v>9789</v>
      </c>
      <c r="D31" s="120">
        <v>7.9034391534391624E-2</v>
      </c>
      <c r="E31" s="119">
        <v>2598</v>
      </c>
      <c r="F31" s="120">
        <f t="shared" ref="F31:L43" si="2">IFERROR(E31/C31-1,"-")</f>
        <v>-0.73460006129328836</v>
      </c>
      <c r="G31" s="119">
        <v>6573</v>
      </c>
      <c r="H31" s="120">
        <f t="shared" si="2"/>
        <v>1.5300230946882216</v>
      </c>
      <c r="I31" s="119">
        <v>10452</v>
      </c>
      <c r="J31" s="120">
        <f t="shared" si="2"/>
        <v>0.59014148790506615</v>
      </c>
      <c r="K31" s="119">
        <v>11900</v>
      </c>
      <c r="L31" s="120">
        <f t="shared" si="2"/>
        <v>0.1385380788365862</v>
      </c>
      <c r="M31" s="119">
        <v>11916</v>
      </c>
      <c r="N31" s="120">
        <f t="shared" ref="N31" si="3">IFERROR(M31/K31-1,"-")</f>
        <v>1.3445378151260012E-3</v>
      </c>
    </row>
    <row r="32" spans="1:15" x14ac:dyDescent="0.25">
      <c r="B32" s="118" t="s">
        <v>75</v>
      </c>
      <c r="C32" s="119">
        <v>12212</v>
      </c>
      <c r="D32" s="120">
        <v>0.22034575796942146</v>
      </c>
      <c r="E32" s="119">
        <v>5069</v>
      </c>
      <c r="F32" s="120">
        <f t="shared" si="2"/>
        <v>-0.58491647559777271</v>
      </c>
      <c r="G32" s="119">
        <v>8995</v>
      </c>
      <c r="H32" s="120">
        <f t="shared" si="2"/>
        <v>0.77451173801538764</v>
      </c>
      <c r="I32" s="119">
        <v>12083</v>
      </c>
      <c r="J32" s="120">
        <f t="shared" si="2"/>
        <v>0.3433018343524179</v>
      </c>
      <c r="K32" s="119">
        <v>11880</v>
      </c>
      <c r="L32" s="120">
        <f t="shared" si="2"/>
        <v>-1.680046346106101E-2</v>
      </c>
      <c r="M32" s="119">
        <v>13464</v>
      </c>
      <c r="N32" s="120">
        <f>IFERROR(M32/K32-1,"-")</f>
        <v>0.1333333333333333</v>
      </c>
    </row>
    <row r="33" spans="2:15" x14ac:dyDescent="0.25">
      <c r="B33" s="118" t="s">
        <v>77</v>
      </c>
      <c r="C33" s="119">
        <v>4939</v>
      </c>
      <c r="D33" s="120">
        <v>-0.53082549634273768</v>
      </c>
      <c r="E33" s="119">
        <v>6171</v>
      </c>
      <c r="F33" s="120">
        <f t="shared" si="2"/>
        <v>0.24944320712694878</v>
      </c>
      <c r="G33" s="119">
        <v>11575</v>
      </c>
      <c r="H33" s="120">
        <f t="shared" si="2"/>
        <v>0.8757089612704585</v>
      </c>
      <c r="I33" s="119">
        <v>15380</v>
      </c>
      <c r="J33" s="120">
        <f t="shared" si="2"/>
        <v>0.32872570194384454</v>
      </c>
      <c r="K33" s="119">
        <v>12803</v>
      </c>
      <c r="L33" s="120">
        <f t="shared" si="2"/>
        <v>-0.16755526657997399</v>
      </c>
      <c r="M33" s="119">
        <v>15642</v>
      </c>
      <c r="N33" s="120">
        <f>IFERROR(M33/K33-1,"-")</f>
        <v>0.22174490353823328</v>
      </c>
    </row>
    <row r="34" spans="2:15" x14ac:dyDescent="0.25">
      <c r="B34" s="118" t="s">
        <v>79</v>
      </c>
      <c r="C34" s="119">
        <v>0</v>
      </c>
      <c r="D34" s="120">
        <v>-1</v>
      </c>
      <c r="E34" s="119">
        <v>6233</v>
      </c>
      <c r="F34" s="120" t="str">
        <f t="shared" si="2"/>
        <v>-</v>
      </c>
      <c r="G34" s="119">
        <v>10703</v>
      </c>
      <c r="H34" s="120">
        <f t="shared" si="2"/>
        <v>0.7171506497673672</v>
      </c>
      <c r="I34" s="119">
        <v>12270</v>
      </c>
      <c r="J34" s="120">
        <f t="shared" si="2"/>
        <v>0.14640754928524702</v>
      </c>
      <c r="K34" s="119">
        <v>11832</v>
      </c>
      <c r="L34" s="120">
        <f t="shared" si="2"/>
        <v>-3.5696821515892374E-2</v>
      </c>
      <c r="M34" s="119">
        <v>12892</v>
      </c>
      <c r="N34" s="120">
        <f>IFERROR(M34/K34-1,"-")</f>
        <v>8.9587559161595776E-2</v>
      </c>
    </row>
    <row r="35" spans="2:15" x14ac:dyDescent="0.25">
      <c r="B35" s="118" t="s">
        <v>81</v>
      </c>
      <c r="C35" s="119">
        <v>0</v>
      </c>
      <c r="D35" s="120">
        <v>-1</v>
      </c>
      <c r="E35" s="119">
        <v>8659</v>
      </c>
      <c r="F35" s="120" t="str">
        <f t="shared" si="2"/>
        <v>-</v>
      </c>
      <c r="G35" s="119">
        <v>12721</v>
      </c>
      <c r="H35" s="120">
        <f t="shared" si="2"/>
        <v>0.4691072872156139</v>
      </c>
      <c r="I35" s="119">
        <v>13214</v>
      </c>
      <c r="J35" s="120">
        <f t="shared" si="2"/>
        <v>3.8754814873044552E-2</v>
      </c>
      <c r="K35" s="119">
        <v>12647</v>
      </c>
      <c r="L35" s="120">
        <f t="shared" si="2"/>
        <v>-4.2909035871045886E-2</v>
      </c>
      <c r="M35" s="119">
        <v>17139</v>
      </c>
      <c r="N35" s="120">
        <f>IFERROR(M35/K35-1,"-")</f>
        <v>0.3551830473630111</v>
      </c>
    </row>
    <row r="36" spans="2:15" x14ac:dyDescent="0.25">
      <c r="B36" s="118" t="s">
        <v>83</v>
      </c>
      <c r="C36" s="119">
        <v>0</v>
      </c>
      <c r="D36" s="120">
        <v>-1</v>
      </c>
      <c r="E36" s="119">
        <v>9924</v>
      </c>
      <c r="F36" s="120" t="str">
        <f t="shared" si="2"/>
        <v>-</v>
      </c>
      <c r="G36" s="119">
        <v>12409</v>
      </c>
      <c r="H36" s="120">
        <f t="shared" si="2"/>
        <v>0.25040306328093509</v>
      </c>
      <c r="I36" s="119">
        <v>13066</v>
      </c>
      <c r="J36" s="120">
        <f t="shared" si="2"/>
        <v>5.2945442823757016E-2</v>
      </c>
      <c r="K36" s="119">
        <v>14875</v>
      </c>
      <c r="L36" s="120">
        <f t="shared" si="2"/>
        <v>0.13845094137455982</v>
      </c>
      <c r="M36" s="119">
        <v>16672</v>
      </c>
      <c r="N36" s="120">
        <f>IFERROR(M36/K36-1,"-")</f>
        <v>0.12080672268907566</v>
      </c>
    </row>
    <row r="37" spans="2:15" x14ac:dyDescent="0.25">
      <c r="B37" s="118" t="s">
        <v>85</v>
      </c>
      <c r="C37" s="119">
        <v>0</v>
      </c>
      <c r="D37" s="120">
        <v>-1</v>
      </c>
      <c r="E37" s="119">
        <v>9928</v>
      </c>
      <c r="F37" s="120" t="str">
        <f t="shared" si="2"/>
        <v>-</v>
      </c>
      <c r="G37" s="119">
        <v>12525</v>
      </c>
      <c r="H37" s="120">
        <f t="shared" si="2"/>
        <v>0.26158340048348117</v>
      </c>
      <c r="I37" s="119">
        <v>11727</v>
      </c>
      <c r="J37" s="120">
        <f t="shared" si="2"/>
        <v>-6.3712574850299353E-2</v>
      </c>
      <c r="K37" s="119">
        <v>16297</v>
      </c>
      <c r="L37" s="120">
        <f t="shared" si="2"/>
        <v>0.38969898524771884</v>
      </c>
      <c r="M37" s="119"/>
      <c r="N37" s="120"/>
    </row>
    <row r="38" spans="2:15" x14ac:dyDescent="0.25">
      <c r="B38" s="118" t="s">
        <v>87</v>
      </c>
      <c r="C38" s="119">
        <v>4192</v>
      </c>
      <c r="D38" s="120">
        <v>-0.48310727496917383</v>
      </c>
      <c r="E38" s="119">
        <v>9185</v>
      </c>
      <c r="F38" s="120">
        <f t="shared" si="2"/>
        <v>1.1910782442748094</v>
      </c>
      <c r="G38" s="119">
        <v>8882</v>
      </c>
      <c r="H38" s="120">
        <f t="shared" si="2"/>
        <v>-3.2988568317909639E-2</v>
      </c>
      <c r="I38" s="119">
        <v>8822</v>
      </c>
      <c r="J38" s="120">
        <f t="shared" si="2"/>
        <v>-6.7552353073632165E-3</v>
      </c>
      <c r="K38" s="119">
        <v>9303</v>
      </c>
      <c r="L38" s="120">
        <f t="shared" si="2"/>
        <v>5.4522783949217946E-2</v>
      </c>
      <c r="M38" s="119"/>
      <c r="N38" s="120"/>
    </row>
    <row r="39" spans="2:15" x14ac:dyDescent="0.25">
      <c r="B39" s="118" t="s">
        <v>89</v>
      </c>
      <c r="C39" s="119">
        <v>5198</v>
      </c>
      <c r="D39" s="120">
        <v>-0.43981032438840395</v>
      </c>
      <c r="E39" s="119">
        <v>11073</v>
      </c>
      <c r="F39" s="120">
        <f t="shared" si="2"/>
        <v>1.1302424009234322</v>
      </c>
      <c r="G39" s="119">
        <v>12859</v>
      </c>
      <c r="H39" s="120">
        <f t="shared" si="2"/>
        <v>0.16129323579878996</v>
      </c>
      <c r="I39" s="119">
        <v>11310</v>
      </c>
      <c r="J39" s="120">
        <f t="shared" si="2"/>
        <v>-0.12046037794540787</v>
      </c>
      <c r="K39" s="119">
        <v>14314</v>
      </c>
      <c r="L39" s="120">
        <f t="shared" si="2"/>
        <v>0.26560565870910691</v>
      </c>
      <c r="M39" s="119"/>
      <c r="N39" s="120"/>
    </row>
    <row r="40" spans="2:15" x14ac:dyDescent="0.25">
      <c r="B40" s="118" t="s">
        <v>91</v>
      </c>
      <c r="C40" s="119">
        <v>6718</v>
      </c>
      <c r="D40" s="120">
        <v>-0.38366972477064221</v>
      </c>
      <c r="E40" s="119">
        <v>12642</v>
      </c>
      <c r="F40" s="120">
        <f t="shared" si="2"/>
        <v>0.88181006251860672</v>
      </c>
      <c r="G40" s="119">
        <v>13163</v>
      </c>
      <c r="H40" s="120">
        <f t="shared" si="2"/>
        <v>4.1211833570637513E-2</v>
      </c>
      <c r="I40" s="119">
        <v>13962</v>
      </c>
      <c r="J40" s="120">
        <f t="shared" si="2"/>
        <v>6.0700448226088222E-2</v>
      </c>
      <c r="K40" s="119">
        <v>12735</v>
      </c>
      <c r="L40" s="120">
        <f t="shared" si="2"/>
        <v>-8.7881392350666054E-2</v>
      </c>
      <c r="M40" s="119"/>
      <c r="N40" s="120"/>
    </row>
    <row r="41" spans="2:15" x14ac:dyDescent="0.25">
      <c r="B41" s="118" t="s">
        <v>93</v>
      </c>
      <c r="C41" s="119">
        <v>5458</v>
      </c>
      <c r="D41" s="120">
        <v>-0.52427438333478604</v>
      </c>
      <c r="E41" s="119">
        <v>13326</v>
      </c>
      <c r="F41" s="120">
        <f t="shared" si="2"/>
        <v>1.4415536826676436</v>
      </c>
      <c r="G41" s="119">
        <v>13787</v>
      </c>
      <c r="H41" s="120">
        <f t="shared" si="2"/>
        <v>3.4594026714693138E-2</v>
      </c>
      <c r="I41" s="119">
        <v>13695</v>
      </c>
      <c r="J41" s="120">
        <f t="shared" si="2"/>
        <v>-6.6729527816058454E-3</v>
      </c>
      <c r="K41" s="119">
        <v>14871</v>
      </c>
      <c r="L41" s="120">
        <f t="shared" si="2"/>
        <v>8.5870755750273808E-2</v>
      </c>
      <c r="M41" s="119"/>
      <c r="N41" s="120"/>
    </row>
    <row r="42" spans="2:15" x14ac:dyDescent="0.25">
      <c r="B42" s="118" t="s">
        <v>95</v>
      </c>
      <c r="C42" s="119">
        <v>4373</v>
      </c>
      <c r="D42" s="120">
        <v>-0.57357386640663099</v>
      </c>
      <c r="E42" s="119">
        <v>9749</v>
      </c>
      <c r="F42" s="120">
        <f t="shared" si="2"/>
        <v>1.2293619940544249</v>
      </c>
      <c r="G42" s="119">
        <v>10694</v>
      </c>
      <c r="H42" s="120">
        <f t="shared" si="2"/>
        <v>9.6933018771156121E-2</v>
      </c>
      <c r="I42" s="119">
        <v>10449</v>
      </c>
      <c r="J42" s="120">
        <f t="shared" si="2"/>
        <v>-2.2910043014774617E-2</v>
      </c>
      <c r="K42" s="119">
        <v>13109</v>
      </c>
      <c r="L42" s="120">
        <f t="shared" si="2"/>
        <v>0.25456981529332956</v>
      </c>
      <c r="M42" s="119"/>
      <c r="N42" s="120"/>
    </row>
    <row r="43" spans="2:15" ht="15.75" x14ac:dyDescent="0.25">
      <c r="B43" s="121" t="s">
        <v>32</v>
      </c>
      <c r="C43" s="122">
        <v>61571</v>
      </c>
      <c r="D43" s="123">
        <v>-0.48751477418388245</v>
      </c>
      <c r="E43" s="122">
        <v>104557</v>
      </c>
      <c r="F43" s="123">
        <f t="shared" si="2"/>
        <v>0.69815335141543899</v>
      </c>
      <c r="G43" s="122">
        <v>134886</v>
      </c>
      <c r="H43" s="123">
        <f t="shared" si="2"/>
        <v>0.29007144428397913</v>
      </c>
      <c r="I43" s="122">
        <v>146430</v>
      </c>
      <c r="J43" s="123">
        <f t="shared" si="2"/>
        <v>8.5583381522174262E-2</v>
      </c>
      <c r="K43" s="122">
        <v>156566</v>
      </c>
      <c r="L43" s="123">
        <f t="shared" si="2"/>
        <v>6.9220788089872309E-2</v>
      </c>
      <c r="M43" s="122">
        <v>87725</v>
      </c>
      <c r="N43" s="123">
        <v>0.1552339439272028</v>
      </c>
    </row>
    <row r="44" spans="2:15" ht="6" customHeight="1" x14ac:dyDescent="0.25"/>
    <row r="45" spans="2:15" x14ac:dyDescent="0.25">
      <c r="B45" s="107" t="s">
        <v>57</v>
      </c>
      <c r="C45" s="107"/>
      <c r="D45" s="107"/>
      <c r="E45" s="107"/>
      <c r="F45" s="107"/>
      <c r="G45" s="107"/>
      <c r="H45" s="107"/>
      <c r="I45" s="107"/>
      <c r="J45" s="107"/>
      <c r="K45" s="107"/>
      <c r="L45" s="107"/>
      <c r="M45" s="107"/>
      <c r="N45" s="107"/>
    </row>
    <row r="46" spans="2:15" x14ac:dyDescent="0.25">
      <c r="C46" s="124"/>
    </row>
    <row r="47" spans="2:15" x14ac:dyDescent="0.25">
      <c r="E47" s="124"/>
      <c r="G47" s="124"/>
      <c r="I47" s="124"/>
      <c r="K47" s="126"/>
    </row>
    <row r="48" spans="2:15" ht="48.75" customHeight="1" thickBot="1" x14ac:dyDescent="0.3">
      <c r="B48" s="278" t="s">
        <v>237</v>
      </c>
      <c r="C48" s="278"/>
      <c r="D48" s="278"/>
      <c r="E48" s="278"/>
      <c r="F48" s="278"/>
      <c r="G48" s="278"/>
      <c r="H48" s="278"/>
      <c r="I48" s="278"/>
      <c r="J48" s="278"/>
      <c r="K48" s="278"/>
      <c r="L48" s="278"/>
      <c r="M48" s="278"/>
      <c r="N48" s="278"/>
      <c r="O48" s="1" t="s">
        <v>100</v>
      </c>
    </row>
    <row r="49" spans="1:15" ht="10.5" customHeight="1" thickBot="1" x14ac:dyDescent="0.3">
      <c r="B49" s="108"/>
      <c r="C49" s="109"/>
      <c r="D49" s="108"/>
      <c r="E49" s="108"/>
      <c r="F49" s="108"/>
      <c r="G49" s="108"/>
      <c r="H49" s="108"/>
      <c r="I49" s="108"/>
      <c r="J49" s="108"/>
      <c r="K49" s="108"/>
      <c r="L49" s="108"/>
      <c r="M49" s="4"/>
      <c r="N49" s="4"/>
      <c r="O49" s="1" t="s">
        <v>101</v>
      </c>
    </row>
    <row r="50" spans="1:15" ht="22.5" thickTop="1" thickBot="1" x14ac:dyDescent="0.3">
      <c r="B50" s="111"/>
      <c r="C50" s="303" t="s">
        <v>102</v>
      </c>
      <c r="D50" s="304"/>
      <c r="E50" s="304"/>
      <c r="F50" s="304"/>
      <c r="G50" s="304"/>
      <c r="H50" s="304"/>
      <c r="I50" s="304"/>
      <c r="J50" s="304"/>
      <c r="K50" s="304"/>
      <c r="L50" s="304"/>
      <c r="M50" s="304"/>
      <c r="N50" s="304"/>
    </row>
    <row r="51" spans="1:15" ht="22.5" thickTop="1" thickBot="1" x14ac:dyDescent="0.3">
      <c r="B51" s="111"/>
      <c r="C51" s="305">
        <f>C$7</f>
        <v>2020</v>
      </c>
      <c r="D51" s="306"/>
      <c r="E51" s="305">
        <f>E$7</f>
        <v>2021</v>
      </c>
      <c r="F51" s="306"/>
      <c r="G51" s="305">
        <f>G$7</f>
        <v>2022</v>
      </c>
      <c r="H51" s="306"/>
      <c r="I51" s="305">
        <f>I$7</f>
        <v>2023</v>
      </c>
      <c r="J51" s="306"/>
      <c r="K51" s="305">
        <f>K$7</f>
        <v>2024</v>
      </c>
      <c r="L51" s="306"/>
      <c r="M51" s="305">
        <f>M$7</f>
        <v>2025</v>
      </c>
      <c r="N51" s="306"/>
    </row>
    <row r="52" spans="1:15" ht="16.5" thickTop="1" thickBot="1" x14ac:dyDescent="0.3">
      <c r="B52" s="87"/>
      <c r="C52" s="115" t="s">
        <v>71</v>
      </c>
      <c r="D52" s="116" t="str">
        <f>CONCATENATE("var ",RIGHT(C51,2),"/",RIGHT(C51-1,2))</f>
        <v>var 20/19</v>
      </c>
      <c r="E52" s="117" t="s">
        <v>71</v>
      </c>
      <c r="F52" s="116" t="str">
        <f>CONCATENATE("var ",RIGHT(E51,2),"/",RIGHT(E51-1,2))</f>
        <v>var 21/20</v>
      </c>
      <c r="G52" s="117" t="s">
        <v>71</v>
      </c>
      <c r="H52" s="116" t="str">
        <f>CONCATENATE("var ",RIGHT(G51,2),"/",RIGHT(G51-1,2))</f>
        <v>var 22/21</v>
      </c>
      <c r="I52" s="117" t="s">
        <v>71</v>
      </c>
      <c r="J52" s="116" t="str">
        <f>CONCATENATE("var ",RIGHT(I51,2),"/",RIGHT(I51-1,2))</f>
        <v>var 23/22</v>
      </c>
      <c r="K52" s="117" t="s">
        <v>71</v>
      </c>
      <c r="L52" s="116" t="str">
        <f>CONCATENATE("var ",RIGHT(K51,2),"/",RIGHT(K51-1,2))</f>
        <v>var 24/23</v>
      </c>
      <c r="M52" s="117" t="s">
        <v>71</v>
      </c>
      <c r="N52" s="116" t="str">
        <f>CONCATENATE("var ",RIGHT(M51,2),"/",RIGHT(M51-1,2))</f>
        <v>var 25/24</v>
      </c>
    </row>
    <row r="53" spans="1:15" x14ac:dyDescent="0.25">
      <c r="A53" s="1">
        <v>1</v>
      </c>
      <c r="B53" s="118" t="s">
        <v>73</v>
      </c>
      <c r="C53" s="119">
        <v>4747</v>
      </c>
      <c r="D53" s="120">
        <v>1.2655557899177161E-3</v>
      </c>
      <c r="E53" s="119">
        <v>1412</v>
      </c>
      <c r="F53" s="120">
        <f>IFERROR(E53/C53-1,"-")</f>
        <v>-0.70254897830208551</v>
      </c>
      <c r="G53" s="119">
        <v>3917</v>
      </c>
      <c r="H53" s="120">
        <f>IFERROR(G53/E53-1,"-")</f>
        <v>1.7740793201133145</v>
      </c>
      <c r="I53" s="119">
        <v>5450</v>
      </c>
      <c r="J53" s="120">
        <f>IFERROR(I53/G53-1,"-")</f>
        <v>0.39137094715343368</v>
      </c>
      <c r="K53" s="119">
        <v>6504</v>
      </c>
      <c r="L53" s="120">
        <f>IFERROR(K53/I53-1,"-")</f>
        <v>0.19339449541284415</v>
      </c>
      <c r="M53" s="119">
        <v>7025</v>
      </c>
      <c r="N53" s="120">
        <f t="shared" ref="N53:N58" si="4">IFERROR(M53/K53-1,"-")</f>
        <v>8.0104551045510508E-2</v>
      </c>
    </row>
    <row r="54" spans="1:15" x14ac:dyDescent="0.25">
      <c r="A54" s="1">
        <v>2</v>
      </c>
      <c r="B54" s="118" t="s">
        <v>75</v>
      </c>
      <c r="C54" s="119">
        <v>5951</v>
      </c>
      <c r="D54" s="120">
        <v>0.10326288468668898</v>
      </c>
      <c r="E54" s="119">
        <v>2193</v>
      </c>
      <c r="F54" s="120">
        <f t="shared" ref="F54:L65" si="5">IFERROR(E54/C54-1,"-")</f>
        <v>-0.631490505797345</v>
      </c>
      <c r="G54" s="119">
        <v>4988</v>
      </c>
      <c r="H54" s="120">
        <f t="shared" si="5"/>
        <v>1.2745098039215685</v>
      </c>
      <c r="I54" s="119">
        <v>6445</v>
      </c>
      <c r="J54" s="120">
        <f t="shared" si="5"/>
        <v>0.29210104250200475</v>
      </c>
      <c r="K54" s="119">
        <v>6868</v>
      </c>
      <c r="L54" s="120">
        <f t="shared" si="5"/>
        <v>6.5632273079906822E-2</v>
      </c>
      <c r="M54" s="119">
        <v>7367</v>
      </c>
      <c r="N54" s="120">
        <f t="shared" si="4"/>
        <v>7.2655794991263845E-2</v>
      </c>
    </row>
    <row r="55" spans="1:15" x14ac:dyDescent="0.25">
      <c r="A55" s="1">
        <v>3</v>
      </c>
      <c r="B55" s="118" t="s">
        <v>77</v>
      </c>
      <c r="C55" s="119">
        <v>2527</v>
      </c>
      <c r="D55" s="120">
        <v>-0.57104057036156841</v>
      </c>
      <c r="E55" s="119">
        <v>2697</v>
      </c>
      <c r="F55" s="120">
        <f t="shared" si="5"/>
        <v>6.7273446774831713E-2</v>
      </c>
      <c r="G55" s="119">
        <v>6328</v>
      </c>
      <c r="H55" s="120">
        <f t="shared" si="5"/>
        <v>1.346310715609937</v>
      </c>
      <c r="I55" s="119">
        <v>8798</v>
      </c>
      <c r="J55" s="120">
        <f t="shared" si="5"/>
        <v>0.3903286978508218</v>
      </c>
      <c r="K55" s="119">
        <v>6861</v>
      </c>
      <c r="L55" s="120">
        <f t="shared" si="5"/>
        <v>-0.22016367356217326</v>
      </c>
      <c r="M55" s="119">
        <v>7666</v>
      </c>
      <c r="N55" s="120">
        <f t="shared" si="4"/>
        <v>0.11732983530097663</v>
      </c>
    </row>
    <row r="56" spans="1:15" x14ac:dyDescent="0.25">
      <c r="A56" s="1">
        <v>4</v>
      </c>
      <c r="B56" s="118" t="s">
        <v>79</v>
      </c>
      <c r="C56" s="119">
        <v>0</v>
      </c>
      <c r="D56" s="120">
        <v>-1</v>
      </c>
      <c r="E56" s="119">
        <v>3163</v>
      </c>
      <c r="F56" s="120" t="str">
        <f t="shared" si="5"/>
        <v>-</v>
      </c>
      <c r="G56" s="119">
        <v>4470</v>
      </c>
      <c r="H56" s="120">
        <f t="shared" si="5"/>
        <v>0.41321530192854894</v>
      </c>
      <c r="I56" s="119">
        <v>6595</v>
      </c>
      <c r="J56" s="120">
        <f t="shared" si="5"/>
        <v>0.47539149888143184</v>
      </c>
      <c r="K56" s="119">
        <v>7072</v>
      </c>
      <c r="L56" s="120">
        <f t="shared" si="5"/>
        <v>7.232752084912808E-2</v>
      </c>
      <c r="M56" s="119">
        <v>6138</v>
      </c>
      <c r="N56" s="120">
        <f t="shared" si="4"/>
        <v>-0.13207013574660631</v>
      </c>
    </row>
    <row r="57" spans="1:15" x14ac:dyDescent="0.25">
      <c r="A57" s="1">
        <v>5</v>
      </c>
      <c r="B57" s="118" t="s">
        <v>81</v>
      </c>
      <c r="C57" s="119">
        <v>0</v>
      </c>
      <c r="D57" s="120">
        <v>-1</v>
      </c>
      <c r="E57" s="119">
        <v>3929</v>
      </c>
      <c r="F57" s="120" t="str">
        <f t="shared" si="5"/>
        <v>-</v>
      </c>
      <c r="G57" s="119">
        <v>6157</v>
      </c>
      <c r="H57" s="120">
        <f t="shared" si="5"/>
        <v>0.56706541104606778</v>
      </c>
      <c r="I57" s="119">
        <v>6899</v>
      </c>
      <c r="J57" s="120">
        <f t="shared" si="5"/>
        <v>0.12051323696605487</v>
      </c>
      <c r="K57" s="119">
        <v>6981</v>
      </c>
      <c r="L57" s="120">
        <f t="shared" si="5"/>
        <v>1.1885780547905567E-2</v>
      </c>
      <c r="M57" s="119">
        <v>7712</v>
      </c>
      <c r="N57" s="120">
        <f t="shared" si="4"/>
        <v>0.10471279186362992</v>
      </c>
    </row>
    <row r="58" spans="1:15" x14ac:dyDescent="0.25">
      <c r="A58" s="1">
        <v>6</v>
      </c>
      <c r="B58" s="118" t="s">
        <v>83</v>
      </c>
      <c r="C58" s="119">
        <v>0</v>
      </c>
      <c r="D58" s="120">
        <v>-1</v>
      </c>
      <c r="E58" s="119">
        <v>4399</v>
      </c>
      <c r="F58" s="120" t="str">
        <f t="shared" si="5"/>
        <v>-</v>
      </c>
      <c r="G58" s="119">
        <v>5602</v>
      </c>
      <c r="H58" s="120">
        <f t="shared" si="5"/>
        <v>0.27347124346442375</v>
      </c>
      <c r="I58" s="119">
        <v>6717</v>
      </c>
      <c r="J58" s="120">
        <f t="shared" si="5"/>
        <v>0.19903605855051776</v>
      </c>
      <c r="K58" s="119">
        <v>7542</v>
      </c>
      <c r="L58" s="120">
        <f t="shared" si="5"/>
        <v>0.12282268870031254</v>
      </c>
      <c r="M58" s="119">
        <v>7773</v>
      </c>
      <c r="N58" s="120">
        <f t="shared" si="4"/>
        <v>3.0628480509148792E-2</v>
      </c>
    </row>
    <row r="59" spans="1:15" x14ac:dyDescent="0.25">
      <c r="A59" s="1">
        <v>7</v>
      </c>
      <c r="B59" s="118" t="s">
        <v>85</v>
      </c>
      <c r="C59" s="119">
        <v>0</v>
      </c>
      <c r="D59" s="120">
        <v>-1</v>
      </c>
      <c r="E59" s="119">
        <v>5325</v>
      </c>
      <c r="F59" s="120" t="str">
        <f t="shared" si="5"/>
        <v>-</v>
      </c>
      <c r="G59" s="119">
        <v>5240</v>
      </c>
      <c r="H59" s="120">
        <f t="shared" si="5"/>
        <v>-1.5962441314554043E-2</v>
      </c>
      <c r="I59" s="119">
        <v>7240</v>
      </c>
      <c r="J59" s="120">
        <f t="shared" si="5"/>
        <v>0.38167938931297707</v>
      </c>
      <c r="K59" s="119">
        <v>6419</v>
      </c>
      <c r="L59" s="120">
        <f t="shared" si="5"/>
        <v>-0.11339779005524864</v>
      </c>
      <c r="M59" s="119"/>
      <c r="N59" s="120"/>
    </row>
    <row r="60" spans="1:15" x14ac:dyDescent="0.25">
      <c r="A60" s="1">
        <v>8</v>
      </c>
      <c r="B60" s="118" t="s">
        <v>87</v>
      </c>
      <c r="C60" s="119">
        <v>2986</v>
      </c>
      <c r="D60" s="120">
        <v>-4.2641872394998392E-2</v>
      </c>
      <c r="E60" s="119">
        <v>5031</v>
      </c>
      <c r="F60" s="120">
        <f t="shared" si="5"/>
        <v>0.68486269256530474</v>
      </c>
      <c r="G60" s="119">
        <v>3658</v>
      </c>
      <c r="H60" s="120">
        <f t="shared" si="5"/>
        <v>-0.27290797058238914</v>
      </c>
      <c r="I60" s="119">
        <v>4888</v>
      </c>
      <c r="J60" s="120">
        <f t="shared" si="5"/>
        <v>0.33624931656642976</v>
      </c>
      <c r="K60" s="119">
        <v>3964</v>
      </c>
      <c r="L60" s="120">
        <f t="shared" si="5"/>
        <v>-0.18903436988543376</v>
      </c>
      <c r="M60" s="119"/>
      <c r="N60" s="120"/>
    </row>
    <row r="61" spans="1:15" x14ac:dyDescent="0.25">
      <c r="A61" s="1">
        <v>9</v>
      </c>
      <c r="B61" s="118" t="s">
        <v>89</v>
      </c>
      <c r="C61" s="119">
        <v>3428</v>
      </c>
      <c r="D61" s="120">
        <v>-0.26406182911120657</v>
      </c>
      <c r="E61" s="119">
        <v>5743</v>
      </c>
      <c r="F61" s="120">
        <f t="shared" si="5"/>
        <v>0.67532088681446911</v>
      </c>
      <c r="G61" s="119">
        <v>6176</v>
      </c>
      <c r="H61" s="120">
        <f t="shared" si="5"/>
        <v>7.539613442451687E-2</v>
      </c>
      <c r="I61" s="119">
        <v>6477</v>
      </c>
      <c r="J61" s="120">
        <f t="shared" si="5"/>
        <v>4.8737046632124414E-2</v>
      </c>
      <c r="K61" s="119">
        <v>6205</v>
      </c>
      <c r="L61" s="120">
        <f t="shared" si="5"/>
        <v>-4.1994750656167978E-2</v>
      </c>
      <c r="M61" s="119"/>
      <c r="N61" s="120"/>
    </row>
    <row r="62" spans="1:15" x14ac:dyDescent="0.25">
      <c r="A62" s="1">
        <v>10</v>
      </c>
      <c r="B62" s="118" t="s">
        <v>91</v>
      </c>
      <c r="C62" s="119">
        <v>3924</v>
      </c>
      <c r="D62" s="120">
        <v>-0.24813182602031036</v>
      </c>
      <c r="E62" s="119">
        <v>6087</v>
      </c>
      <c r="F62" s="120">
        <f t="shared" si="5"/>
        <v>0.55122324159021407</v>
      </c>
      <c r="G62" s="119">
        <v>6564</v>
      </c>
      <c r="H62" s="120">
        <f t="shared" si="5"/>
        <v>7.8363725973385812E-2</v>
      </c>
      <c r="I62" s="119">
        <v>7061</v>
      </c>
      <c r="J62" s="120">
        <f t="shared" si="5"/>
        <v>7.5716026812918891E-2</v>
      </c>
      <c r="K62" s="119">
        <v>7713</v>
      </c>
      <c r="L62" s="120">
        <f t="shared" si="5"/>
        <v>9.2338195722985406E-2</v>
      </c>
      <c r="M62" s="119"/>
      <c r="N62" s="120"/>
    </row>
    <row r="63" spans="1:15" x14ac:dyDescent="0.25">
      <c r="A63" s="1">
        <v>11</v>
      </c>
      <c r="B63" s="118" t="s">
        <v>93</v>
      </c>
      <c r="C63" s="119">
        <v>3089</v>
      </c>
      <c r="D63" s="120">
        <v>-0.50757213454487493</v>
      </c>
      <c r="E63" s="119">
        <v>6920</v>
      </c>
      <c r="F63" s="120">
        <f t="shared" si="5"/>
        <v>1.2402071867918418</v>
      </c>
      <c r="G63" s="119">
        <v>6965</v>
      </c>
      <c r="H63" s="120">
        <f t="shared" si="5"/>
        <v>6.502890173410325E-3</v>
      </c>
      <c r="I63" s="119">
        <v>8507</v>
      </c>
      <c r="J63" s="120">
        <f t="shared" si="5"/>
        <v>0.22139267767408466</v>
      </c>
      <c r="K63" s="119">
        <v>8717</v>
      </c>
      <c r="L63" s="120">
        <f t="shared" si="5"/>
        <v>2.4685553073939159E-2</v>
      </c>
      <c r="M63" s="119"/>
      <c r="N63" s="120"/>
    </row>
    <row r="64" spans="1:15" x14ac:dyDescent="0.25">
      <c r="A64" s="1">
        <v>12</v>
      </c>
      <c r="B64" s="118" t="s">
        <v>95</v>
      </c>
      <c r="C64" s="119">
        <v>2151</v>
      </c>
      <c r="D64" s="120">
        <v>-0.5010438413361169</v>
      </c>
      <c r="E64" s="119">
        <v>4411</v>
      </c>
      <c r="F64" s="120">
        <f t="shared" si="5"/>
        <v>1.0506741050674107</v>
      </c>
      <c r="G64" s="119">
        <v>4956</v>
      </c>
      <c r="H64" s="120">
        <f t="shared" si="5"/>
        <v>0.12355474948991163</v>
      </c>
      <c r="I64" s="119">
        <v>5232</v>
      </c>
      <c r="J64" s="120">
        <f t="shared" si="5"/>
        <v>5.5690072639225097E-2</v>
      </c>
      <c r="K64" s="119">
        <v>5927</v>
      </c>
      <c r="L64" s="120">
        <f t="shared" si="5"/>
        <v>0.13283639143730896</v>
      </c>
      <c r="M64" s="119"/>
      <c r="N64" s="120"/>
    </row>
    <row r="65" spans="1:15" ht="15.75" x14ac:dyDescent="0.25">
      <c r="B65" s="121" t="s">
        <v>32</v>
      </c>
      <c r="C65" s="122">
        <v>33780</v>
      </c>
      <c r="D65" s="123">
        <v>-0.42809738258896823</v>
      </c>
      <c r="E65" s="122">
        <v>51310</v>
      </c>
      <c r="F65" s="123">
        <f t="shared" si="5"/>
        <v>0.51894612196566015</v>
      </c>
      <c r="G65" s="122">
        <v>65021</v>
      </c>
      <c r="H65" s="123">
        <f t="shared" si="5"/>
        <v>0.26721886571818354</v>
      </c>
      <c r="I65" s="122">
        <v>80309</v>
      </c>
      <c r="J65" s="123">
        <f t="shared" si="5"/>
        <v>0.23512403684963323</v>
      </c>
      <c r="K65" s="122">
        <v>80773</v>
      </c>
      <c r="L65" s="123">
        <f t="shared" si="5"/>
        <v>5.7776836967213807E-3</v>
      </c>
      <c r="M65" s="122">
        <v>43681</v>
      </c>
      <c r="N65" s="123">
        <v>4.4300468585636521E-2</v>
      </c>
    </row>
    <row r="66" spans="1:15" ht="6" customHeight="1" x14ac:dyDescent="0.25"/>
    <row r="67" spans="1:15" x14ac:dyDescent="0.25">
      <c r="B67" s="107" t="s">
        <v>57</v>
      </c>
      <c r="C67" s="107"/>
      <c r="D67" s="107"/>
      <c r="E67" s="107"/>
      <c r="F67" s="107"/>
      <c r="G67" s="107"/>
      <c r="H67" s="107"/>
      <c r="I67" s="107"/>
      <c r="J67" s="107"/>
      <c r="K67" s="107"/>
      <c r="L67" s="107"/>
      <c r="M67" s="107"/>
      <c r="N67" s="107"/>
    </row>
    <row r="68" spans="1:15" x14ac:dyDescent="0.25">
      <c r="C68" s="124"/>
    </row>
    <row r="70" spans="1:15" ht="48.75" customHeight="1" thickBot="1" x14ac:dyDescent="0.3">
      <c r="B70" s="278" t="s">
        <v>238</v>
      </c>
      <c r="C70" s="278"/>
      <c r="D70" s="278"/>
      <c r="E70" s="278"/>
      <c r="F70" s="278"/>
      <c r="G70" s="278"/>
      <c r="H70" s="278"/>
      <c r="I70" s="278"/>
      <c r="J70" s="278"/>
      <c r="K70" s="278"/>
      <c r="L70" s="278"/>
      <c r="M70" s="278"/>
      <c r="N70" s="278"/>
      <c r="O70" s="1" t="s">
        <v>103</v>
      </c>
    </row>
    <row r="71" spans="1:15" ht="10.5" customHeight="1" thickBot="1" x14ac:dyDescent="0.3">
      <c r="B71" s="108"/>
      <c r="C71" s="109"/>
      <c r="D71" s="108"/>
      <c r="E71" s="108"/>
      <c r="F71" s="108"/>
      <c r="G71" s="108"/>
      <c r="H71" s="108"/>
      <c r="I71" s="108"/>
      <c r="J71" s="108"/>
      <c r="K71" s="108"/>
      <c r="L71" s="108"/>
      <c r="M71" s="4"/>
      <c r="N71" s="4"/>
      <c r="O71" s="1" t="s">
        <v>104</v>
      </c>
    </row>
    <row r="72" spans="1:15" ht="22.5" thickTop="1" thickBot="1" x14ac:dyDescent="0.3">
      <c r="B72" s="111"/>
      <c r="C72" s="303" t="s">
        <v>105</v>
      </c>
      <c r="D72" s="304"/>
      <c r="E72" s="304"/>
      <c r="F72" s="304"/>
      <c r="G72" s="304"/>
      <c r="H72" s="304"/>
      <c r="I72" s="304"/>
      <c r="J72" s="304"/>
      <c r="K72" s="304"/>
      <c r="L72" s="304"/>
      <c r="M72" s="304"/>
      <c r="N72" s="304"/>
    </row>
    <row r="73" spans="1:15" ht="22.5" thickTop="1" thickBot="1" x14ac:dyDescent="0.3">
      <c r="B73" s="111"/>
      <c r="C73" s="305">
        <f>C$7</f>
        <v>2020</v>
      </c>
      <c r="D73" s="306"/>
      <c r="E73" s="305">
        <f>E$7</f>
        <v>2021</v>
      </c>
      <c r="F73" s="306"/>
      <c r="G73" s="305">
        <f>G$7</f>
        <v>2022</v>
      </c>
      <c r="H73" s="306"/>
      <c r="I73" s="305">
        <f>I$7</f>
        <v>2023</v>
      </c>
      <c r="J73" s="306"/>
      <c r="K73" s="305">
        <f>K$7</f>
        <v>2024</v>
      </c>
      <c r="L73" s="306"/>
      <c r="M73" s="305">
        <f>M$7</f>
        <v>2025</v>
      </c>
      <c r="N73" s="306"/>
    </row>
    <row r="74" spans="1:15" ht="16.5" thickTop="1" thickBot="1" x14ac:dyDescent="0.3">
      <c r="B74" s="87"/>
      <c r="C74" s="115" t="s">
        <v>71</v>
      </c>
      <c r="D74" s="116" t="str">
        <f>CONCATENATE("var ",RIGHT(C73,2),"/",RIGHT(C73-1,2))</f>
        <v>var 20/19</v>
      </c>
      <c r="E74" s="117" t="s">
        <v>71</v>
      </c>
      <c r="F74" s="116" t="str">
        <f>CONCATENATE("var ",RIGHT(E73,2),"/",RIGHT(E73-1,2))</f>
        <v>var 21/20</v>
      </c>
      <c r="G74" s="117" t="s">
        <v>71</v>
      </c>
      <c r="H74" s="116" t="str">
        <f>CONCATENATE("var ",RIGHT(G73,2),"/",RIGHT(G73-1,2))</f>
        <v>var 22/21</v>
      </c>
      <c r="I74" s="117" t="s">
        <v>71</v>
      </c>
      <c r="J74" s="116" t="str">
        <f>CONCATENATE("var ",RIGHT(I73,2),"/",RIGHT(I73-1,2))</f>
        <v>var 23/22</v>
      </c>
      <c r="K74" s="117" t="s">
        <v>71</v>
      </c>
      <c r="L74" s="116" t="str">
        <f>CONCATENATE("var ",RIGHT(K73,2),"/",RIGHT(K73-1,2))</f>
        <v>var 24/23</v>
      </c>
      <c r="M74" s="117" t="s">
        <v>71</v>
      </c>
      <c r="N74" s="116" t="str">
        <f>CONCATENATE("var ",RIGHT(M73,2),"/",RIGHT(M73-1,2))</f>
        <v>var 25/24</v>
      </c>
    </row>
    <row r="75" spans="1:15" x14ac:dyDescent="0.25">
      <c r="A75" s="1">
        <v>1</v>
      </c>
      <c r="B75" s="118" t="s">
        <v>73</v>
      </c>
      <c r="C75" s="119">
        <v>5042</v>
      </c>
      <c r="D75" s="120">
        <v>0.16416531978757787</v>
      </c>
      <c r="E75" s="119">
        <v>1186</v>
      </c>
      <c r="F75" s="120">
        <f>IFERROR(E75/C75-1,"-")</f>
        <v>-0.76477588258627527</v>
      </c>
      <c r="G75" s="119">
        <v>2656</v>
      </c>
      <c r="H75" s="120">
        <f>IFERROR(G75/E75-1,"-")</f>
        <v>1.2394603709949408</v>
      </c>
      <c r="I75" s="119">
        <v>5002</v>
      </c>
      <c r="J75" s="120">
        <f>IFERROR(I75/G75-1,"-")</f>
        <v>0.88328313253012047</v>
      </c>
      <c r="K75" s="119">
        <v>5396</v>
      </c>
      <c r="L75" s="120">
        <f>IFERROR(K75/I75-1,"-")</f>
        <v>7.8768492602958817E-2</v>
      </c>
      <c r="M75" s="119">
        <v>4891</v>
      </c>
      <c r="N75" s="120">
        <f t="shared" ref="N75:N80" si="6">IFERROR(M75/K75-1,"-")</f>
        <v>-9.3587842846552971E-2</v>
      </c>
    </row>
    <row r="76" spans="1:15" x14ac:dyDescent="0.25">
      <c r="A76" s="1">
        <v>2</v>
      </c>
      <c r="B76" s="118" t="s">
        <v>75</v>
      </c>
      <c r="C76" s="119">
        <v>6261</v>
      </c>
      <c r="D76" s="120">
        <v>0.35725124647734674</v>
      </c>
      <c r="E76" s="119">
        <v>2876</v>
      </c>
      <c r="F76" s="120">
        <f t="shared" ref="F76:L87" si="7">IFERROR(E76/C76-1,"-")</f>
        <v>-0.54064845871266565</v>
      </c>
      <c r="G76" s="119">
        <v>4007</v>
      </c>
      <c r="H76" s="120">
        <f t="shared" si="7"/>
        <v>0.39325452016689844</v>
      </c>
      <c r="I76" s="119">
        <v>5638</v>
      </c>
      <c r="J76" s="120">
        <f t="shared" si="7"/>
        <v>0.40703768405290752</v>
      </c>
      <c r="K76" s="119">
        <v>5012</v>
      </c>
      <c r="L76" s="120">
        <f t="shared" si="7"/>
        <v>-0.11103228095069173</v>
      </c>
      <c r="M76" s="119">
        <v>6097</v>
      </c>
      <c r="N76" s="120">
        <f t="shared" si="6"/>
        <v>0.21648044692737423</v>
      </c>
    </row>
    <row r="77" spans="1:15" x14ac:dyDescent="0.25">
      <c r="A77" s="1">
        <v>3</v>
      </c>
      <c r="B77" s="118" t="s">
        <v>77</v>
      </c>
      <c r="C77" s="119">
        <v>2412</v>
      </c>
      <c r="D77" s="120">
        <v>-0.47972389991371878</v>
      </c>
      <c r="E77" s="119">
        <v>3474</v>
      </c>
      <c r="F77" s="120">
        <f t="shared" si="7"/>
        <v>0.44029850746268662</v>
      </c>
      <c r="G77" s="119">
        <v>5247</v>
      </c>
      <c r="H77" s="120">
        <f t="shared" si="7"/>
        <v>0.51036269430051817</v>
      </c>
      <c r="I77" s="119">
        <v>6582</v>
      </c>
      <c r="J77" s="120">
        <f t="shared" si="7"/>
        <v>0.25443110348770737</v>
      </c>
      <c r="K77" s="119">
        <v>5942</v>
      </c>
      <c r="L77" s="120">
        <f t="shared" si="7"/>
        <v>-9.7234883014281404E-2</v>
      </c>
      <c r="M77" s="119">
        <v>7976</v>
      </c>
      <c r="N77" s="120">
        <f t="shared" si="6"/>
        <v>0.34230898687310662</v>
      </c>
    </row>
    <row r="78" spans="1:15" x14ac:dyDescent="0.25">
      <c r="A78" s="1">
        <v>4</v>
      </c>
      <c r="B78" s="118" t="s">
        <v>79</v>
      </c>
      <c r="C78" s="119">
        <v>0</v>
      </c>
      <c r="D78" s="120">
        <v>-1</v>
      </c>
      <c r="E78" s="119">
        <v>3070</v>
      </c>
      <c r="F78" s="120" t="str">
        <f t="shared" si="7"/>
        <v>-</v>
      </c>
      <c r="G78" s="119">
        <v>6233</v>
      </c>
      <c r="H78" s="120">
        <f t="shared" si="7"/>
        <v>1.0302931596091205</v>
      </c>
      <c r="I78" s="119">
        <v>5675</v>
      </c>
      <c r="J78" s="120">
        <f t="shared" si="7"/>
        <v>-8.9523503930691528E-2</v>
      </c>
      <c r="K78" s="119">
        <v>4760</v>
      </c>
      <c r="L78" s="120">
        <f t="shared" si="7"/>
        <v>-0.16123348017621142</v>
      </c>
      <c r="M78" s="119">
        <v>6754</v>
      </c>
      <c r="N78" s="120">
        <f t="shared" si="6"/>
        <v>0.41890756302521015</v>
      </c>
    </row>
    <row r="79" spans="1:15" x14ac:dyDescent="0.25">
      <c r="A79" s="1">
        <v>5</v>
      </c>
      <c r="B79" s="118" t="s">
        <v>81</v>
      </c>
      <c r="C79" s="119">
        <v>0</v>
      </c>
      <c r="D79" s="120">
        <v>-1</v>
      </c>
      <c r="E79" s="119">
        <v>4730</v>
      </c>
      <c r="F79" s="120" t="str">
        <f t="shared" si="7"/>
        <v>-</v>
      </c>
      <c r="G79" s="119">
        <v>6564</v>
      </c>
      <c r="H79" s="120">
        <f t="shared" si="7"/>
        <v>0.38773784355179708</v>
      </c>
      <c r="I79" s="119">
        <v>6315</v>
      </c>
      <c r="J79" s="120">
        <f t="shared" si="7"/>
        <v>-3.7934186471663578E-2</v>
      </c>
      <c r="K79" s="119">
        <v>5666</v>
      </c>
      <c r="L79" s="120">
        <f t="shared" si="7"/>
        <v>-0.10277117973079963</v>
      </c>
      <c r="M79" s="119">
        <v>9427</v>
      </c>
      <c r="N79" s="120">
        <f t="shared" si="6"/>
        <v>0.66378397458524541</v>
      </c>
    </row>
    <row r="80" spans="1:15" x14ac:dyDescent="0.25">
      <c r="A80" s="1">
        <v>6</v>
      </c>
      <c r="B80" s="118" t="s">
        <v>83</v>
      </c>
      <c r="C80" s="119">
        <v>0</v>
      </c>
      <c r="D80" s="120">
        <v>-1</v>
      </c>
      <c r="E80" s="119">
        <v>5525</v>
      </c>
      <c r="F80" s="120" t="str">
        <f t="shared" si="7"/>
        <v>-</v>
      </c>
      <c r="G80" s="119">
        <v>6807</v>
      </c>
      <c r="H80" s="120">
        <f t="shared" si="7"/>
        <v>0.2320361990950226</v>
      </c>
      <c r="I80" s="119">
        <v>6349</v>
      </c>
      <c r="J80" s="120">
        <f t="shared" si="7"/>
        <v>-6.7283678566181893E-2</v>
      </c>
      <c r="K80" s="119">
        <v>7333</v>
      </c>
      <c r="L80" s="120">
        <f t="shared" si="7"/>
        <v>0.15498503701370292</v>
      </c>
      <c r="M80" s="119">
        <v>8899</v>
      </c>
      <c r="N80" s="120">
        <f t="shared" si="6"/>
        <v>0.21355516159825449</v>
      </c>
    </row>
    <row r="81" spans="1:15" x14ac:dyDescent="0.25">
      <c r="A81" s="1">
        <v>7</v>
      </c>
      <c r="B81" s="118" t="s">
        <v>85</v>
      </c>
      <c r="C81" s="119">
        <v>0</v>
      </c>
      <c r="D81" s="120">
        <v>-1</v>
      </c>
      <c r="E81" s="119">
        <v>4603</v>
      </c>
      <c r="F81" s="120" t="str">
        <f t="shared" si="7"/>
        <v>-</v>
      </c>
      <c r="G81" s="119">
        <v>7285</v>
      </c>
      <c r="H81" s="120">
        <f t="shared" si="7"/>
        <v>0.58266348033890947</v>
      </c>
      <c r="I81" s="119">
        <v>4487</v>
      </c>
      <c r="J81" s="120">
        <f t="shared" si="7"/>
        <v>-0.38407687028140014</v>
      </c>
      <c r="K81" s="119">
        <v>9878</v>
      </c>
      <c r="L81" s="120">
        <f t="shared" si="7"/>
        <v>1.2014709159794963</v>
      </c>
      <c r="M81" s="119"/>
      <c r="N81" s="120"/>
    </row>
    <row r="82" spans="1:15" x14ac:dyDescent="0.25">
      <c r="A82" s="1">
        <v>8</v>
      </c>
      <c r="B82" s="118" t="s">
        <v>87</v>
      </c>
      <c r="C82" s="119">
        <v>1206</v>
      </c>
      <c r="D82" s="120">
        <v>-0.75836505710278501</v>
      </c>
      <c r="E82" s="119">
        <v>4154</v>
      </c>
      <c r="F82" s="120">
        <f t="shared" si="7"/>
        <v>2.4444444444444446</v>
      </c>
      <c r="G82" s="119">
        <v>5224</v>
      </c>
      <c r="H82" s="120">
        <f t="shared" si="7"/>
        <v>0.25758305247953772</v>
      </c>
      <c r="I82" s="119">
        <v>3934</v>
      </c>
      <c r="J82" s="120">
        <f t="shared" si="7"/>
        <v>-0.24693721286370596</v>
      </c>
      <c r="K82" s="119">
        <v>5339</v>
      </c>
      <c r="L82" s="120">
        <f t="shared" si="7"/>
        <v>0.35714285714285721</v>
      </c>
      <c r="M82" s="119"/>
      <c r="N82" s="120"/>
    </row>
    <row r="83" spans="1:15" x14ac:dyDescent="0.25">
      <c r="A83" s="1">
        <v>9</v>
      </c>
      <c r="B83" s="118" t="s">
        <v>89</v>
      </c>
      <c r="C83" s="119">
        <v>1770</v>
      </c>
      <c r="D83" s="120">
        <v>-0.61696602466998485</v>
      </c>
      <c r="E83" s="119">
        <v>5330</v>
      </c>
      <c r="F83" s="120">
        <f t="shared" si="7"/>
        <v>2.0112994350282487</v>
      </c>
      <c r="G83" s="119">
        <v>6683</v>
      </c>
      <c r="H83" s="120">
        <f t="shared" si="7"/>
        <v>0.25384615384615383</v>
      </c>
      <c r="I83" s="119">
        <v>4833</v>
      </c>
      <c r="J83" s="120">
        <f t="shared" si="7"/>
        <v>-0.27682178662277424</v>
      </c>
      <c r="K83" s="119">
        <v>8109</v>
      </c>
      <c r="L83" s="120">
        <f t="shared" si="7"/>
        <v>0.67783985102420852</v>
      </c>
      <c r="M83" s="119"/>
      <c r="N83" s="120"/>
    </row>
    <row r="84" spans="1:15" x14ac:dyDescent="0.25">
      <c r="A84" s="1">
        <v>10</v>
      </c>
      <c r="B84" s="118" t="s">
        <v>91</v>
      </c>
      <c r="C84" s="119">
        <v>2794</v>
      </c>
      <c r="D84" s="120">
        <v>-0.50818517866572788</v>
      </c>
      <c r="E84" s="119">
        <v>6555</v>
      </c>
      <c r="F84" s="120">
        <f t="shared" si="7"/>
        <v>1.3460987831066573</v>
      </c>
      <c r="G84" s="119">
        <v>6599</v>
      </c>
      <c r="H84" s="120">
        <f t="shared" si="7"/>
        <v>6.7124332570556167E-3</v>
      </c>
      <c r="I84" s="119">
        <v>6901</v>
      </c>
      <c r="J84" s="120">
        <f t="shared" si="7"/>
        <v>4.5764509774208317E-2</v>
      </c>
      <c r="K84" s="119">
        <v>5022</v>
      </c>
      <c r="L84" s="120">
        <f t="shared" si="7"/>
        <v>-0.27227937980002903</v>
      </c>
      <c r="M84" s="119"/>
      <c r="N84" s="120"/>
    </row>
    <row r="85" spans="1:15" x14ac:dyDescent="0.25">
      <c r="A85" s="1">
        <v>11</v>
      </c>
      <c r="B85" s="118" t="s">
        <v>93</v>
      </c>
      <c r="C85" s="119">
        <v>2369</v>
      </c>
      <c r="D85" s="120">
        <v>-0.5444230769230769</v>
      </c>
      <c r="E85" s="119">
        <v>6406</v>
      </c>
      <c r="F85" s="120">
        <f t="shared" si="7"/>
        <v>1.7040945546644153</v>
      </c>
      <c r="G85" s="119">
        <v>6822</v>
      </c>
      <c r="H85" s="120">
        <f t="shared" si="7"/>
        <v>6.4939119575398108E-2</v>
      </c>
      <c r="I85" s="119">
        <v>5188</v>
      </c>
      <c r="J85" s="120">
        <f t="shared" si="7"/>
        <v>-0.23951920257988857</v>
      </c>
      <c r="K85" s="119">
        <v>6154</v>
      </c>
      <c r="L85" s="120">
        <f t="shared" si="7"/>
        <v>0.18619892058596754</v>
      </c>
      <c r="M85" s="119"/>
      <c r="N85" s="120"/>
    </row>
    <row r="86" spans="1:15" x14ac:dyDescent="0.25">
      <c r="A86" s="1">
        <v>12</v>
      </c>
      <c r="B86" s="118" t="s">
        <v>95</v>
      </c>
      <c r="C86" s="119">
        <v>2222</v>
      </c>
      <c r="D86" s="120">
        <v>-0.62617765814266479</v>
      </c>
      <c r="E86" s="119">
        <v>5338</v>
      </c>
      <c r="F86" s="120">
        <f t="shared" si="7"/>
        <v>1.4023402340234021</v>
      </c>
      <c r="G86" s="119">
        <v>5738</v>
      </c>
      <c r="H86" s="120">
        <f t="shared" si="7"/>
        <v>7.4934432371674742E-2</v>
      </c>
      <c r="I86" s="119">
        <v>5217</v>
      </c>
      <c r="J86" s="120">
        <f t="shared" si="7"/>
        <v>-9.079818752178459E-2</v>
      </c>
      <c r="K86" s="119">
        <v>7182</v>
      </c>
      <c r="L86" s="120">
        <f t="shared" si="7"/>
        <v>0.37665324899367447</v>
      </c>
      <c r="M86" s="119"/>
      <c r="N86" s="120"/>
    </row>
    <row r="87" spans="1:15" ht="15.75" x14ac:dyDescent="0.25">
      <c r="B87" s="121" t="s">
        <v>32</v>
      </c>
      <c r="C87" s="122">
        <v>27791</v>
      </c>
      <c r="D87" s="123">
        <v>-0.5449767502783418</v>
      </c>
      <c r="E87" s="122">
        <v>53247</v>
      </c>
      <c r="F87" s="123">
        <f t="shared" si="7"/>
        <v>0.91597999352308301</v>
      </c>
      <c r="G87" s="122">
        <v>69865</v>
      </c>
      <c r="H87" s="123">
        <f t="shared" si="7"/>
        <v>0.31209270005821921</v>
      </c>
      <c r="I87" s="122">
        <v>66121</v>
      </c>
      <c r="J87" s="123">
        <f t="shared" si="7"/>
        <v>-5.3589064624633198E-2</v>
      </c>
      <c r="K87" s="122">
        <v>75793</v>
      </c>
      <c r="L87" s="123">
        <f t="shared" si="7"/>
        <v>0.14627727953297742</v>
      </c>
      <c r="M87" s="122">
        <v>44044</v>
      </c>
      <c r="N87" s="123">
        <v>0.29127209827318312</v>
      </c>
    </row>
    <row r="88" spans="1:15" ht="6" customHeight="1" x14ac:dyDescent="0.25"/>
    <row r="89" spans="1:15" x14ac:dyDescent="0.25">
      <c r="B89" s="107" t="s">
        <v>57</v>
      </c>
      <c r="C89" s="107"/>
      <c r="D89" s="107"/>
      <c r="E89" s="107"/>
      <c r="F89" s="107"/>
      <c r="G89" s="107"/>
      <c r="H89" s="107"/>
      <c r="I89" s="107"/>
      <c r="J89" s="107"/>
      <c r="K89" s="107"/>
      <c r="L89" s="107"/>
      <c r="M89" s="107"/>
      <c r="N89" s="107"/>
    </row>
    <row r="90" spans="1:15" x14ac:dyDescent="0.25">
      <c r="C90" s="124"/>
    </row>
    <row r="92" spans="1:15" ht="48.75" customHeight="1" thickBot="1" x14ac:dyDescent="0.3">
      <c r="B92" s="278" t="s">
        <v>239</v>
      </c>
      <c r="C92" s="278"/>
      <c r="D92" s="278"/>
      <c r="E92" s="278"/>
      <c r="F92" s="278"/>
      <c r="G92" s="278"/>
      <c r="H92" s="278"/>
      <c r="I92" s="278"/>
      <c r="J92" s="278"/>
      <c r="K92" s="278"/>
      <c r="L92" s="278"/>
      <c r="M92" s="278"/>
      <c r="N92" s="278"/>
      <c r="O92" s="1" t="s">
        <v>106</v>
      </c>
    </row>
    <row r="93" spans="1:15" ht="10.5" customHeight="1" thickBot="1" x14ac:dyDescent="0.3">
      <c r="B93" s="108"/>
      <c r="C93" s="109"/>
      <c r="D93" s="108"/>
      <c r="E93" s="108"/>
      <c r="F93" s="108"/>
      <c r="G93" s="108"/>
      <c r="H93" s="108"/>
      <c r="I93" s="108"/>
      <c r="J93" s="108"/>
      <c r="K93" s="108"/>
      <c r="L93" s="108"/>
      <c r="M93" s="4"/>
      <c r="N93" s="4"/>
      <c r="O93" s="1" t="s">
        <v>107</v>
      </c>
    </row>
    <row r="94" spans="1:15" ht="22.5" thickTop="1" thickBot="1" x14ac:dyDescent="0.3">
      <c r="B94" s="125" t="s">
        <v>108</v>
      </c>
      <c r="C94" s="303" t="s">
        <v>109</v>
      </c>
      <c r="D94" s="304"/>
      <c r="E94" s="304"/>
      <c r="F94" s="304"/>
      <c r="G94" s="304"/>
      <c r="H94" s="304"/>
      <c r="I94" s="304"/>
      <c r="J94" s="304"/>
      <c r="K94" s="304"/>
      <c r="L94" s="304"/>
      <c r="M94" s="304"/>
      <c r="N94" s="304"/>
    </row>
    <row r="95" spans="1:15" ht="22.5" thickTop="1" thickBot="1" x14ac:dyDescent="0.3">
      <c r="B95" s="111"/>
      <c r="C95" s="305">
        <f>C$7</f>
        <v>2020</v>
      </c>
      <c r="D95" s="306"/>
      <c r="E95" s="305">
        <f>E$7</f>
        <v>2021</v>
      </c>
      <c r="F95" s="306"/>
      <c r="G95" s="305">
        <f>G$7</f>
        <v>2022</v>
      </c>
      <c r="H95" s="306"/>
      <c r="I95" s="305">
        <f>I$7</f>
        <v>2023</v>
      </c>
      <c r="J95" s="306"/>
      <c r="K95" s="305">
        <f>K$7</f>
        <v>2024</v>
      </c>
      <c r="L95" s="306"/>
      <c r="M95" s="305">
        <f>M$7</f>
        <v>2025</v>
      </c>
      <c r="N95" s="306"/>
    </row>
    <row r="96" spans="1:15" ht="16.5" thickTop="1" thickBot="1" x14ac:dyDescent="0.3">
      <c r="B96" s="87"/>
      <c r="C96" s="115" t="s">
        <v>71</v>
      </c>
      <c r="D96" s="116" t="str">
        <f>CONCATENATE("var ",RIGHT(C95,2),"/",RIGHT(C95-1,2))</f>
        <v>var 20/19</v>
      </c>
      <c r="E96" s="117" t="s">
        <v>71</v>
      </c>
      <c r="F96" s="116" t="str">
        <f>CONCATENATE("var ",RIGHT(E95,2),"/",RIGHT(E95-1,2))</f>
        <v>var 21/20</v>
      </c>
      <c r="G96" s="117" t="s">
        <v>71</v>
      </c>
      <c r="H96" s="116" t="str">
        <f>CONCATENATE("var ",RIGHT(G95,2),"/",RIGHT(G95-1,2))</f>
        <v>var 22/21</v>
      </c>
      <c r="I96" s="117" t="s">
        <v>71</v>
      </c>
      <c r="J96" s="116" t="str">
        <f>CONCATENATE("var ",RIGHT(I95,2),"/",RIGHT(I95-1,2))</f>
        <v>var 23/22</v>
      </c>
      <c r="K96" s="117" t="s">
        <v>71</v>
      </c>
      <c r="L96" s="116" t="str">
        <f>CONCATENATE("var ",RIGHT(K95,2),"/",RIGHT(K95-1,2))</f>
        <v>var 24/23</v>
      </c>
      <c r="M96" s="117" t="s">
        <v>71</v>
      </c>
      <c r="N96" s="116" t="str">
        <f>CONCATENATE("var ",RIGHT(M95,2),"/",RIGHT(M95-1,2))</f>
        <v>var 25/24</v>
      </c>
    </row>
    <row r="97" spans="2:14" x14ac:dyDescent="0.25">
      <c r="B97" s="118" t="s">
        <v>73</v>
      </c>
      <c r="C97" s="119">
        <v>10764</v>
      </c>
      <c r="D97" s="120">
        <v>-6.2451006009929477E-2</v>
      </c>
      <c r="E97" s="119">
        <v>2169</v>
      </c>
      <c r="F97" s="120">
        <f t="shared" ref="F97:L109" si="8">IFERROR(E97/C97-1,"-")</f>
        <v>-0.79849498327759194</v>
      </c>
      <c r="G97" s="119">
        <v>7573</v>
      </c>
      <c r="H97" s="120">
        <f t="shared" si="8"/>
        <v>2.4914707238358691</v>
      </c>
      <c r="I97" s="119">
        <v>13157</v>
      </c>
      <c r="J97" s="120">
        <f t="shared" si="8"/>
        <v>0.73735639772877337</v>
      </c>
      <c r="K97" s="119">
        <v>11967</v>
      </c>
      <c r="L97" s="120">
        <f t="shared" si="8"/>
        <v>-9.0446150338223008E-2</v>
      </c>
      <c r="M97" s="119">
        <v>12686</v>
      </c>
      <c r="N97" s="120">
        <f t="shared" ref="N97:N102" si="9">IFERROR(M97/K97-1,"-")</f>
        <v>6.0081891869307347E-2</v>
      </c>
    </row>
    <row r="98" spans="2:14" x14ac:dyDescent="0.25">
      <c r="B98" s="118" t="s">
        <v>75</v>
      </c>
      <c r="C98" s="119">
        <v>11152</v>
      </c>
      <c r="D98" s="120">
        <v>2.1058414209851772E-2</v>
      </c>
      <c r="E98" s="119">
        <v>2972</v>
      </c>
      <c r="F98" s="120">
        <f t="shared" si="8"/>
        <v>-0.7335007173601148</v>
      </c>
      <c r="G98" s="119">
        <v>8064</v>
      </c>
      <c r="H98" s="120">
        <f t="shared" si="8"/>
        <v>1.7133243606998656</v>
      </c>
      <c r="I98" s="119">
        <v>10692</v>
      </c>
      <c r="J98" s="120">
        <f t="shared" si="8"/>
        <v>0.32589285714285721</v>
      </c>
      <c r="K98" s="119">
        <v>10745</v>
      </c>
      <c r="L98" s="120">
        <f t="shared" si="8"/>
        <v>4.9569771791992956E-3</v>
      </c>
      <c r="M98" s="119">
        <v>11462</v>
      </c>
      <c r="N98" s="120">
        <f t="shared" si="9"/>
        <v>6.6728711028385401E-2</v>
      </c>
    </row>
    <row r="99" spans="2:14" x14ac:dyDescent="0.25">
      <c r="B99" s="118" t="s">
        <v>77</v>
      </c>
      <c r="C99" s="119">
        <v>3997</v>
      </c>
      <c r="D99" s="120">
        <v>-0.64477426235335944</v>
      </c>
      <c r="E99" s="119">
        <v>4141</v>
      </c>
      <c r="F99" s="120">
        <f t="shared" si="8"/>
        <v>3.6027020265198884E-2</v>
      </c>
      <c r="G99" s="119">
        <v>8479</v>
      </c>
      <c r="H99" s="120">
        <f t="shared" si="8"/>
        <v>1.0475730499879257</v>
      </c>
      <c r="I99" s="119">
        <v>9794</v>
      </c>
      <c r="J99" s="120">
        <f t="shared" si="8"/>
        <v>0.15508904351928288</v>
      </c>
      <c r="K99" s="119">
        <v>10168</v>
      </c>
      <c r="L99" s="120">
        <f t="shared" si="8"/>
        <v>3.8186644884623311E-2</v>
      </c>
      <c r="M99" s="119">
        <v>11241</v>
      </c>
      <c r="N99" s="120">
        <f t="shared" si="9"/>
        <v>0.10552714398111718</v>
      </c>
    </row>
    <row r="100" spans="2:14" x14ac:dyDescent="0.25">
      <c r="B100" s="118" t="s">
        <v>79</v>
      </c>
      <c r="C100" s="119">
        <v>0</v>
      </c>
      <c r="D100" s="120">
        <v>-1</v>
      </c>
      <c r="E100" s="119">
        <v>3364</v>
      </c>
      <c r="F100" s="120" t="str">
        <f t="shared" si="8"/>
        <v>-</v>
      </c>
      <c r="G100" s="119">
        <v>6637</v>
      </c>
      <c r="H100" s="120">
        <f t="shared" si="8"/>
        <v>0.97294887039239009</v>
      </c>
      <c r="I100" s="119">
        <v>6884</v>
      </c>
      <c r="J100" s="120">
        <f t="shared" si="8"/>
        <v>3.7215609462106336E-2</v>
      </c>
      <c r="K100" s="119">
        <v>7197</v>
      </c>
      <c r="L100" s="120">
        <f t="shared" si="8"/>
        <v>4.5467751307379345E-2</v>
      </c>
      <c r="M100" s="119">
        <v>7965</v>
      </c>
      <c r="N100" s="120">
        <f t="shared" si="9"/>
        <v>0.10671112963734886</v>
      </c>
    </row>
    <row r="101" spans="2:14" x14ac:dyDescent="0.25">
      <c r="B101" s="118" t="s">
        <v>81</v>
      </c>
      <c r="C101" s="119">
        <v>0</v>
      </c>
      <c r="D101" s="120">
        <v>-1</v>
      </c>
      <c r="E101" s="119">
        <v>3886</v>
      </c>
      <c r="F101" s="120" t="str">
        <f t="shared" si="8"/>
        <v>-</v>
      </c>
      <c r="G101" s="119">
        <v>5493</v>
      </c>
      <c r="H101" s="120">
        <f t="shared" si="8"/>
        <v>0.4135357694287185</v>
      </c>
      <c r="I101" s="119">
        <v>4667</v>
      </c>
      <c r="J101" s="120">
        <f t="shared" si="8"/>
        <v>-0.15037320225741857</v>
      </c>
      <c r="K101" s="119">
        <v>4792</v>
      </c>
      <c r="L101" s="120">
        <f t="shared" si="8"/>
        <v>2.678380115706025E-2</v>
      </c>
      <c r="M101" s="119">
        <v>5481</v>
      </c>
      <c r="N101" s="120">
        <f t="shared" si="9"/>
        <v>0.14378130217028384</v>
      </c>
    </row>
    <row r="102" spans="2:14" x14ac:dyDescent="0.25">
      <c r="B102" s="118" t="s">
        <v>83</v>
      </c>
      <c r="C102" s="119">
        <v>0</v>
      </c>
      <c r="D102" s="120">
        <v>-1</v>
      </c>
      <c r="E102" s="119">
        <v>3617</v>
      </c>
      <c r="F102" s="120" t="str">
        <f t="shared" si="8"/>
        <v>-</v>
      </c>
      <c r="G102" s="119">
        <v>5199</v>
      </c>
      <c r="H102" s="120">
        <f t="shared" si="8"/>
        <v>0.43737904340613776</v>
      </c>
      <c r="I102" s="119">
        <v>4917</v>
      </c>
      <c r="J102" s="120">
        <f t="shared" si="8"/>
        <v>-5.424120023081358E-2</v>
      </c>
      <c r="K102" s="119">
        <v>4604</v>
      </c>
      <c r="L102" s="120">
        <f t="shared" si="8"/>
        <v>-6.365670124059386E-2</v>
      </c>
      <c r="M102" s="119">
        <v>4201</v>
      </c>
      <c r="N102" s="120">
        <f t="shared" si="9"/>
        <v>-8.7532580364900081E-2</v>
      </c>
    </row>
    <row r="103" spans="2:14" x14ac:dyDescent="0.25">
      <c r="B103" s="118" t="s">
        <v>85</v>
      </c>
      <c r="C103" s="119">
        <v>0</v>
      </c>
      <c r="D103" s="120">
        <v>-1</v>
      </c>
      <c r="E103" s="119">
        <v>4470</v>
      </c>
      <c r="F103" s="120" t="str">
        <f t="shared" si="8"/>
        <v>-</v>
      </c>
      <c r="G103" s="119">
        <v>5558</v>
      </c>
      <c r="H103" s="120">
        <f t="shared" si="8"/>
        <v>0.24340044742729305</v>
      </c>
      <c r="I103" s="119">
        <v>5083</v>
      </c>
      <c r="J103" s="120">
        <f t="shared" si="8"/>
        <v>-8.5462396545520014E-2</v>
      </c>
      <c r="K103" s="119">
        <v>5335</v>
      </c>
      <c r="L103" s="120">
        <f t="shared" si="8"/>
        <v>4.9577021444029201E-2</v>
      </c>
      <c r="M103" s="119"/>
      <c r="N103" s="120"/>
    </row>
    <row r="104" spans="2:14" x14ac:dyDescent="0.25">
      <c r="B104" s="118" t="s">
        <v>87</v>
      </c>
      <c r="C104" s="119">
        <v>2584</v>
      </c>
      <c r="D104" s="120">
        <v>-0.54531057540031669</v>
      </c>
      <c r="E104" s="119">
        <v>4740</v>
      </c>
      <c r="F104" s="120">
        <f t="shared" si="8"/>
        <v>0.83436532507739947</v>
      </c>
      <c r="G104" s="119">
        <v>6638</v>
      </c>
      <c r="H104" s="120">
        <f t="shared" si="8"/>
        <v>0.4004219409282701</v>
      </c>
      <c r="I104" s="119">
        <v>6171</v>
      </c>
      <c r="J104" s="120">
        <f t="shared" si="8"/>
        <v>-7.0352515818017491E-2</v>
      </c>
      <c r="K104" s="119">
        <v>5898</v>
      </c>
      <c r="L104" s="120">
        <f t="shared" si="8"/>
        <v>-4.4239183276616467E-2</v>
      </c>
      <c r="M104" s="119"/>
      <c r="N104" s="120"/>
    </row>
    <row r="105" spans="2:14" x14ac:dyDescent="0.25">
      <c r="B105" s="118" t="s">
        <v>89</v>
      </c>
      <c r="C105" s="119">
        <v>2225</v>
      </c>
      <c r="D105" s="120">
        <v>-0.66855355280798445</v>
      </c>
      <c r="E105" s="119">
        <v>5400</v>
      </c>
      <c r="F105" s="120">
        <f t="shared" si="8"/>
        <v>1.4269662921348316</v>
      </c>
      <c r="G105" s="119">
        <v>7100</v>
      </c>
      <c r="H105" s="120">
        <f t="shared" si="8"/>
        <v>0.31481481481481488</v>
      </c>
      <c r="I105" s="119">
        <v>4623</v>
      </c>
      <c r="J105" s="120">
        <f t="shared" si="8"/>
        <v>-0.34887323943661974</v>
      </c>
      <c r="K105" s="119">
        <v>5263</v>
      </c>
      <c r="L105" s="120">
        <f t="shared" si="8"/>
        <v>0.13843824356478485</v>
      </c>
      <c r="M105" s="119"/>
      <c r="N105" s="120"/>
    </row>
    <row r="106" spans="2:14" x14ac:dyDescent="0.25">
      <c r="B106" s="118" t="s">
        <v>91</v>
      </c>
      <c r="C106" s="119">
        <v>2580</v>
      </c>
      <c r="D106" s="120">
        <v>-0.66825253953966823</v>
      </c>
      <c r="E106" s="119">
        <v>7079</v>
      </c>
      <c r="F106" s="120">
        <f t="shared" si="8"/>
        <v>1.7437984496124033</v>
      </c>
      <c r="G106" s="119">
        <v>8769</v>
      </c>
      <c r="H106" s="120">
        <f t="shared" si="8"/>
        <v>0.23873428450346101</v>
      </c>
      <c r="I106" s="119">
        <v>6591</v>
      </c>
      <c r="J106" s="120">
        <f t="shared" si="8"/>
        <v>-0.24837495723571668</v>
      </c>
      <c r="K106" s="119">
        <v>6602</v>
      </c>
      <c r="L106" s="120">
        <f t="shared" si="8"/>
        <v>1.6689424973448386E-3</v>
      </c>
      <c r="M106" s="119"/>
      <c r="N106" s="120"/>
    </row>
    <row r="107" spans="2:14" x14ac:dyDescent="0.25">
      <c r="B107" s="118" t="s">
        <v>93</v>
      </c>
      <c r="C107" s="119">
        <v>2646</v>
      </c>
      <c r="D107" s="120">
        <v>-0.74089306698002355</v>
      </c>
      <c r="E107" s="119">
        <v>9414</v>
      </c>
      <c r="F107" s="120">
        <f t="shared" si="8"/>
        <v>2.5578231292517009</v>
      </c>
      <c r="G107" s="119">
        <v>11464</v>
      </c>
      <c r="H107" s="120">
        <f t="shared" si="8"/>
        <v>0.21776078181431902</v>
      </c>
      <c r="I107" s="119">
        <v>9972</v>
      </c>
      <c r="J107" s="120">
        <f t="shared" si="8"/>
        <v>-0.13014654570830431</v>
      </c>
      <c r="K107" s="119">
        <v>10214</v>
      </c>
      <c r="L107" s="120">
        <f t="shared" si="8"/>
        <v>2.4267950260730142E-2</v>
      </c>
      <c r="M107" s="119"/>
      <c r="N107" s="120"/>
    </row>
    <row r="108" spans="2:14" x14ac:dyDescent="0.25">
      <c r="B108" s="118" t="s">
        <v>95</v>
      </c>
      <c r="C108" s="119">
        <v>2589</v>
      </c>
      <c r="D108" s="120">
        <v>-0.75731158605174353</v>
      </c>
      <c r="E108" s="119">
        <v>8449</v>
      </c>
      <c r="F108" s="120">
        <f t="shared" si="8"/>
        <v>2.2634221707222868</v>
      </c>
      <c r="G108" s="119">
        <v>13271</v>
      </c>
      <c r="H108" s="120">
        <f t="shared" si="8"/>
        <v>0.57071842821635688</v>
      </c>
      <c r="I108" s="119">
        <v>10128</v>
      </c>
      <c r="J108" s="120">
        <f t="shared" si="8"/>
        <v>-0.23683219049054327</v>
      </c>
      <c r="K108" s="119">
        <v>11520</v>
      </c>
      <c r="L108" s="120">
        <f t="shared" si="8"/>
        <v>0.13744075829383884</v>
      </c>
      <c r="M108" s="119"/>
      <c r="N108" s="120"/>
    </row>
    <row r="109" spans="2:14" ht="15.75" x14ac:dyDescent="0.25">
      <c r="B109" s="121" t="s">
        <v>32</v>
      </c>
      <c r="C109" s="122">
        <v>41945</v>
      </c>
      <c r="D109" s="123">
        <v>-0.58169198089216434</v>
      </c>
      <c r="E109" s="122">
        <v>59701</v>
      </c>
      <c r="F109" s="123">
        <f t="shared" si="8"/>
        <v>0.42331624746692098</v>
      </c>
      <c r="G109" s="122">
        <v>94245</v>
      </c>
      <c r="H109" s="123">
        <f t="shared" si="8"/>
        <v>0.57861677358838204</v>
      </c>
      <c r="I109" s="122">
        <v>92679</v>
      </c>
      <c r="J109" s="123">
        <f t="shared" si="8"/>
        <v>-1.6616266114913292E-2</v>
      </c>
      <c r="K109" s="122">
        <v>94305</v>
      </c>
      <c r="L109" s="123">
        <f t="shared" si="8"/>
        <v>1.7544427540219454E-2</v>
      </c>
      <c r="M109" s="122">
        <v>53036</v>
      </c>
      <c r="N109" s="123">
        <v>7.20190811149517E-2</v>
      </c>
    </row>
    <row r="110" spans="2:14" ht="6" customHeight="1" x14ac:dyDescent="0.25"/>
    <row r="111" spans="2:14" x14ac:dyDescent="0.25">
      <c r="B111" s="107" t="s">
        <v>57</v>
      </c>
      <c r="C111" s="107"/>
      <c r="D111" s="107"/>
      <c r="E111" s="107"/>
      <c r="F111" s="107"/>
      <c r="G111" s="107"/>
      <c r="H111" s="107"/>
      <c r="I111" s="107"/>
      <c r="J111" s="107"/>
      <c r="K111" s="107"/>
      <c r="L111" s="107"/>
      <c r="M111" s="107"/>
      <c r="N111" s="107"/>
    </row>
    <row r="112" spans="2:14" x14ac:dyDescent="0.25">
      <c r="C112" s="124"/>
    </row>
    <row r="114" spans="1:15" ht="48.75" customHeight="1" thickBot="1" x14ac:dyDescent="0.3">
      <c r="B114" s="278" t="s">
        <v>240</v>
      </c>
      <c r="C114" s="278"/>
      <c r="D114" s="278"/>
      <c r="E114" s="278"/>
      <c r="F114" s="278"/>
      <c r="G114" s="278"/>
      <c r="H114" s="278"/>
      <c r="I114" s="278"/>
      <c r="J114" s="278"/>
      <c r="K114" s="278"/>
      <c r="L114" s="278"/>
      <c r="M114" s="278"/>
      <c r="N114" s="278"/>
      <c r="O114" s="1" t="s">
        <v>110</v>
      </c>
    </row>
    <row r="115" spans="1:15" ht="10.5" customHeight="1" thickBot="1" x14ac:dyDescent="0.3">
      <c r="B115" s="108"/>
      <c r="C115" s="109"/>
      <c r="D115" s="108"/>
      <c r="E115" s="108"/>
      <c r="F115" s="108"/>
      <c r="G115" s="108"/>
      <c r="H115" s="108"/>
      <c r="I115" s="108"/>
      <c r="J115" s="108"/>
      <c r="K115" s="108"/>
      <c r="L115" s="108"/>
      <c r="M115" s="4"/>
      <c r="N115" s="4"/>
      <c r="O115" s="1" t="s">
        <v>111</v>
      </c>
    </row>
    <row r="116" spans="1:15" ht="22.5" thickTop="1" thickBot="1" x14ac:dyDescent="0.3">
      <c r="B116" s="125" t="str">
        <f>C116</f>
        <v>Reino Unido</v>
      </c>
      <c r="C116" s="303" t="s">
        <v>112</v>
      </c>
      <c r="D116" s="304"/>
      <c r="E116" s="304"/>
      <c r="F116" s="304"/>
      <c r="G116" s="304"/>
      <c r="H116" s="304"/>
      <c r="I116" s="304"/>
      <c r="J116" s="304"/>
      <c r="K116" s="304"/>
      <c r="L116" s="304"/>
      <c r="M116" s="304"/>
      <c r="N116" s="304"/>
    </row>
    <row r="117" spans="1:15" ht="22.5" thickTop="1" thickBot="1" x14ac:dyDescent="0.3">
      <c r="B117" s="111"/>
      <c r="C117" s="305">
        <f>C$7</f>
        <v>2020</v>
      </c>
      <c r="D117" s="306"/>
      <c r="E117" s="305">
        <f>E$7</f>
        <v>2021</v>
      </c>
      <c r="F117" s="306"/>
      <c r="G117" s="305">
        <f>G$7</f>
        <v>2022</v>
      </c>
      <c r="H117" s="306"/>
      <c r="I117" s="305">
        <f>I$7</f>
        <v>2023</v>
      </c>
      <c r="J117" s="306"/>
      <c r="K117" s="305">
        <f>K$7</f>
        <v>2024</v>
      </c>
      <c r="L117" s="306"/>
      <c r="M117" s="305">
        <f>M$7</f>
        <v>2025</v>
      </c>
      <c r="N117" s="306"/>
    </row>
    <row r="118" spans="1:15" ht="16.5" thickTop="1" thickBot="1" x14ac:dyDescent="0.3">
      <c r="B118" s="87"/>
      <c r="C118" s="115" t="s">
        <v>71</v>
      </c>
      <c r="D118" s="116" t="str">
        <f>CONCATENATE("var ",RIGHT(C117,2),"/",RIGHT(C117-1,2))</f>
        <v>var 20/19</v>
      </c>
      <c r="E118" s="117" t="s">
        <v>71</v>
      </c>
      <c r="F118" s="116" t="str">
        <f>CONCATENATE("var ",RIGHT(E117,2),"/",RIGHT(E117-1,2))</f>
        <v>var 21/20</v>
      </c>
      <c r="G118" s="117" t="s">
        <v>71</v>
      </c>
      <c r="H118" s="116" t="str">
        <f>CONCATENATE("var ",RIGHT(G117,2),"/",RIGHT(G117-1,2))</f>
        <v>var 22/21</v>
      </c>
      <c r="I118" s="117" t="s">
        <v>71</v>
      </c>
      <c r="J118" s="116" t="str">
        <f>CONCATENATE("var ",RIGHT(I117,2),"/",RIGHT(I117-1,2))</f>
        <v>var 23/22</v>
      </c>
      <c r="K118" s="117" t="s">
        <v>71</v>
      </c>
      <c r="L118" s="116" t="str">
        <f>CONCATENATE("var ",RIGHT(K117,2),"/",RIGHT(K117-1,2))</f>
        <v>var 24/23</v>
      </c>
      <c r="M118" s="117" t="s">
        <v>71</v>
      </c>
      <c r="N118" s="116" t="str">
        <f>CONCATENATE("var ",RIGHT(M117,2),"/",RIGHT(M117-1,2))</f>
        <v>var 25/24</v>
      </c>
    </row>
    <row r="119" spans="1:15" x14ac:dyDescent="0.25">
      <c r="B119" s="118" t="s">
        <v>73</v>
      </c>
      <c r="C119" s="119">
        <v>1289</v>
      </c>
      <c r="D119" s="120">
        <v>-2.4962178517397904E-2</v>
      </c>
      <c r="E119" s="119">
        <v>52</v>
      </c>
      <c r="F119" s="120">
        <f t="shared" ref="F119:L131" si="10">IFERROR(E119/C119-1,"-")</f>
        <v>-0.95965865011636931</v>
      </c>
      <c r="G119" s="119">
        <v>805</v>
      </c>
      <c r="H119" s="120">
        <f t="shared" si="10"/>
        <v>14.48076923076923</v>
      </c>
      <c r="I119" s="119">
        <v>1683</v>
      </c>
      <c r="J119" s="120">
        <f t="shared" si="10"/>
        <v>1.0906832298136644</v>
      </c>
      <c r="K119" s="119">
        <v>1569</v>
      </c>
      <c r="L119" s="120">
        <f t="shared" si="10"/>
        <v>-6.7736185383244218E-2</v>
      </c>
      <c r="M119" s="119">
        <v>1627</v>
      </c>
      <c r="N119" s="120">
        <f t="shared" ref="N119:N124" si="11">IFERROR(M119/K119-1,"-")</f>
        <v>3.696622052262577E-2</v>
      </c>
    </row>
    <row r="120" spans="1:15" x14ac:dyDescent="0.25">
      <c r="B120" s="118" t="s">
        <v>75</v>
      </c>
      <c r="C120" s="119">
        <v>1151</v>
      </c>
      <c r="D120" s="120">
        <v>-8.4327764518695281E-2</v>
      </c>
      <c r="E120" s="119">
        <v>71</v>
      </c>
      <c r="F120" s="120">
        <f t="shared" si="10"/>
        <v>-0.93831450912250214</v>
      </c>
      <c r="G120" s="119">
        <v>857</v>
      </c>
      <c r="H120" s="120">
        <f t="shared" si="10"/>
        <v>11.070422535211268</v>
      </c>
      <c r="I120" s="119">
        <v>1254</v>
      </c>
      <c r="J120" s="120">
        <f t="shared" si="10"/>
        <v>0.46324387397899658</v>
      </c>
      <c r="K120" s="119">
        <v>1571</v>
      </c>
      <c r="L120" s="120">
        <f t="shared" si="10"/>
        <v>0.25279106858054234</v>
      </c>
      <c r="M120" s="119">
        <v>1243</v>
      </c>
      <c r="N120" s="120">
        <f t="shared" si="11"/>
        <v>-0.2087842138765118</v>
      </c>
    </row>
    <row r="121" spans="1:15" x14ac:dyDescent="0.25">
      <c r="B121" s="118" t="s">
        <v>77</v>
      </c>
      <c r="C121" s="119">
        <v>370</v>
      </c>
      <c r="D121" s="120">
        <v>-0.67629046369203849</v>
      </c>
      <c r="E121" s="119">
        <v>143</v>
      </c>
      <c r="F121" s="120">
        <f t="shared" si="10"/>
        <v>-0.61351351351351346</v>
      </c>
      <c r="G121" s="119">
        <v>816</v>
      </c>
      <c r="H121" s="120">
        <f t="shared" si="10"/>
        <v>4.7062937062937067</v>
      </c>
      <c r="I121" s="119">
        <v>1157</v>
      </c>
      <c r="J121" s="120">
        <f t="shared" si="10"/>
        <v>0.41789215686274517</v>
      </c>
      <c r="K121" s="119">
        <v>1094</v>
      </c>
      <c r="L121" s="120">
        <f t="shared" si="10"/>
        <v>-5.4451166810717377E-2</v>
      </c>
      <c r="M121" s="119">
        <v>1052</v>
      </c>
      <c r="N121" s="120">
        <f t="shared" si="11"/>
        <v>-3.8391224862888484E-2</v>
      </c>
    </row>
    <row r="122" spans="1:15" x14ac:dyDescent="0.25">
      <c r="B122" s="118" t="s">
        <v>79</v>
      </c>
      <c r="C122" s="119">
        <v>0</v>
      </c>
      <c r="D122" s="120">
        <v>-1</v>
      </c>
      <c r="E122" s="119">
        <v>84</v>
      </c>
      <c r="F122" s="120" t="str">
        <f t="shared" si="10"/>
        <v>-</v>
      </c>
      <c r="G122" s="119">
        <v>609</v>
      </c>
      <c r="H122" s="120">
        <f t="shared" si="10"/>
        <v>6.25</v>
      </c>
      <c r="I122" s="119">
        <v>609</v>
      </c>
      <c r="J122" s="120">
        <f t="shared" si="10"/>
        <v>0</v>
      </c>
      <c r="K122" s="119">
        <v>736</v>
      </c>
      <c r="L122" s="120">
        <f t="shared" si="10"/>
        <v>0.20853858784893275</v>
      </c>
      <c r="M122" s="119">
        <v>732</v>
      </c>
      <c r="N122" s="120">
        <f t="shared" si="11"/>
        <v>-5.4347826086956763E-3</v>
      </c>
    </row>
    <row r="123" spans="1:15" x14ac:dyDescent="0.25">
      <c r="B123" s="118" t="s">
        <v>81</v>
      </c>
      <c r="C123" s="119">
        <v>0</v>
      </c>
      <c r="D123" s="120">
        <v>-1</v>
      </c>
      <c r="E123" s="119">
        <v>134</v>
      </c>
      <c r="F123" s="120" t="str">
        <f t="shared" si="10"/>
        <v>-</v>
      </c>
      <c r="G123" s="119">
        <v>466</v>
      </c>
      <c r="H123" s="120">
        <f t="shared" si="10"/>
        <v>2.4776119402985075</v>
      </c>
      <c r="I123" s="119">
        <v>455</v>
      </c>
      <c r="J123" s="120">
        <f t="shared" si="10"/>
        <v>-2.3605150214592308E-2</v>
      </c>
      <c r="K123" s="119">
        <v>385</v>
      </c>
      <c r="L123" s="120">
        <f t="shared" si="10"/>
        <v>-0.15384615384615385</v>
      </c>
      <c r="M123" s="119">
        <v>495</v>
      </c>
      <c r="N123" s="120">
        <f t="shared" si="11"/>
        <v>0.28571428571428581</v>
      </c>
    </row>
    <row r="124" spans="1:15" x14ac:dyDescent="0.25">
      <c r="B124" s="118" t="s">
        <v>83</v>
      </c>
      <c r="C124" s="119">
        <v>0</v>
      </c>
      <c r="D124" s="120">
        <v>-1</v>
      </c>
      <c r="E124" s="119">
        <v>131</v>
      </c>
      <c r="F124" s="120" t="str">
        <f t="shared" si="10"/>
        <v>-</v>
      </c>
      <c r="G124" s="119">
        <v>513</v>
      </c>
      <c r="H124" s="120">
        <f t="shared" si="10"/>
        <v>2.9160305343511452</v>
      </c>
      <c r="I124" s="119">
        <v>875</v>
      </c>
      <c r="J124" s="120">
        <f t="shared" si="10"/>
        <v>0.7056530214424952</v>
      </c>
      <c r="K124" s="119">
        <v>683</v>
      </c>
      <c r="L124" s="120">
        <f t="shared" si="10"/>
        <v>-0.21942857142857142</v>
      </c>
      <c r="M124" s="119">
        <v>360</v>
      </c>
      <c r="N124" s="120">
        <f t="shared" si="11"/>
        <v>-0.47291361639824303</v>
      </c>
    </row>
    <row r="125" spans="1:15" x14ac:dyDescent="0.25">
      <c r="B125" s="118" t="s">
        <v>85</v>
      </c>
      <c r="C125" s="119">
        <v>0</v>
      </c>
      <c r="D125" s="120">
        <v>-1</v>
      </c>
      <c r="E125" s="119">
        <v>174</v>
      </c>
      <c r="F125" s="120" t="str">
        <f t="shared" si="10"/>
        <v>-</v>
      </c>
      <c r="G125" s="119">
        <v>730</v>
      </c>
      <c r="H125" s="120">
        <f t="shared" si="10"/>
        <v>3.195402298850575</v>
      </c>
      <c r="I125" s="119">
        <v>662</v>
      </c>
      <c r="J125" s="120">
        <f t="shared" si="10"/>
        <v>-9.31506849315068E-2</v>
      </c>
      <c r="K125" s="119">
        <v>605</v>
      </c>
      <c r="L125" s="120">
        <f t="shared" si="10"/>
        <v>-8.6102719033232633E-2</v>
      </c>
      <c r="M125" s="119"/>
      <c r="N125" s="120"/>
    </row>
    <row r="126" spans="1:15" x14ac:dyDescent="0.25">
      <c r="B126" s="118" t="s">
        <v>87</v>
      </c>
      <c r="C126" s="119">
        <v>104</v>
      </c>
      <c r="D126" s="120">
        <v>-0.78775510204081634</v>
      </c>
      <c r="E126" s="119">
        <v>250</v>
      </c>
      <c r="F126" s="120">
        <f t="shared" si="10"/>
        <v>1.4038461538461537</v>
      </c>
      <c r="G126" s="119">
        <v>825</v>
      </c>
      <c r="H126" s="120">
        <f t="shared" si="10"/>
        <v>2.2999999999999998</v>
      </c>
      <c r="I126" s="119">
        <v>1478</v>
      </c>
      <c r="J126" s="120">
        <f t="shared" si="10"/>
        <v>0.7915151515151515</v>
      </c>
      <c r="K126" s="119">
        <v>532</v>
      </c>
      <c r="L126" s="120">
        <f t="shared" si="10"/>
        <v>-0.64005412719891752</v>
      </c>
      <c r="M126" s="119"/>
      <c r="N126" s="120"/>
    </row>
    <row r="127" spans="1:15" x14ac:dyDescent="0.25">
      <c r="B127" s="118" t="s">
        <v>89</v>
      </c>
      <c r="C127" s="119">
        <v>105</v>
      </c>
      <c r="D127" s="120">
        <v>-0.88697524219590962</v>
      </c>
      <c r="E127" s="119">
        <v>297</v>
      </c>
      <c r="F127" s="120">
        <f t="shared" si="10"/>
        <v>1.8285714285714287</v>
      </c>
      <c r="G127" s="119">
        <v>1068</v>
      </c>
      <c r="H127" s="120">
        <f t="shared" si="10"/>
        <v>2.595959595959596</v>
      </c>
      <c r="I127" s="119">
        <v>508</v>
      </c>
      <c r="J127" s="120">
        <f t="shared" si="10"/>
        <v>-0.52434456928838946</v>
      </c>
      <c r="K127" s="119">
        <v>623</v>
      </c>
      <c r="L127" s="120">
        <f t="shared" si="10"/>
        <v>0.22637795275590555</v>
      </c>
      <c r="M127" s="119"/>
      <c r="N127" s="120"/>
    </row>
    <row r="128" spans="1:15" x14ac:dyDescent="0.25">
      <c r="A128" s="124"/>
      <c r="B128" s="118" t="s">
        <v>91</v>
      </c>
      <c r="C128" s="119">
        <v>148</v>
      </c>
      <c r="D128" s="120">
        <v>-0.77404580152671754</v>
      </c>
      <c r="E128" s="119">
        <v>599</v>
      </c>
      <c r="F128" s="120">
        <f t="shared" si="10"/>
        <v>3.0472972972972974</v>
      </c>
      <c r="G128" s="119">
        <v>998</v>
      </c>
      <c r="H128" s="120">
        <f t="shared" si="10"/>
        <v>0.666110183639399</v>
      </c>
      <c r="I128" s="119">
        <v>765</v>
      </c>
      <c r="J128" s="120">
        <f t="shared" si="10"/>
        <v>-0.23346693386773543</v>
      </c>
      <c r="K128" s="119">
        <v>620</v>
      </c>
      <c r="L128" s="120">
        <f t="shared" si="10"/>
        <v>-0.18954248366013071</v>
      </c>
      <c r="M128" s="119"/>
      <c r="N128" s="120"/>
    </row>
    <row r="129" spans="2:15" x14ac:dyDescent="0.25">
      <c r="B129" s="118" t="s">
        <v>93</v>
      </c>
      <c r="C129" s="119">
        <v>294</v>
      </c>
      <c r="D129" s="120">
        <v>-0.71260997067448684</v>
      </c>
      <c r="E129" s="119">
        <v>715</v>
      </c>
      <c r="F129" s="120">
        <f t="shared" si="10"/>
        <v>1.4319727891156462</v>
      </c>
      <c r="G129" s="119">
        <v>917</v>
      </c>
      <c r="H129" s="120">
        <f t="shared" si="10"/>
        <v>0.28251748251748254</v>
      </c>
      <c r="I129" s="119">
        <v>1068</v>
      </c>
      <c r="J129" s="120">
        <f t="shared" si="10"/>
        <v>0.16466739367502736</v>
      </c>
      <c r="K129" s="119">
        <v>1066</v>
      </c>
      <c r="L129" s="120">
        <f t="shared" si="10"/>
        <v>-1.8726591760299671E-3</v>
      </c>
      <c r="M129" s="119"/>
      <c r="N129" s="120"/>
    </row>
    <row r="130" spans="2:15" x14ac:dyDescent="0.25">
      <c r="B130" s="118" t="s">
        <v>95</v>
      </c>
      <c r="C130" s="119">
        <v>245</v>
      </c>
      <c r="D130" s="120">
        <v>-0.78260869565217395</v>
      </c>
      <c r="E130" s="119">
        <v>686</v>
      </c>
      <c r="F130" s="120">
        <f t="shared" si="10"/>
        <v>1.7999999999999998</v>
      </c>
      <c r="G130" s="119">
        <v>1313</v>
      </c>
      <c r="H130" s="120">
        <f t="shared" si="10"/>
        <v>0.9139941690962099</v>
      </c>
      <c r="I130" s="119">
        <v>1132</v>
      </c>
      <c r="J130" s="120">
        <f t="shared" si="10"/>
        <v>-0.1378522467631379</v>
      </c>
      <c r="K130" s="119">
        <v>1172</v>
      </c>
      <c r="L130" s="120">
        <f t="shared" si="10"/>
        <v>3.5335689045936425E-2</v>
      </c>
      <c r="M130" s="119"/>
      <c r="N130" s="120"/>
    </row>
    <row r="131" spans="2:15" ht="15.75" x14ac:dyDescent="0.25">
      <c r="B131" s="121" t="s">
        <v>32</v>
      </c>
      <c r="C131" s="122">
        <v>3941</v>
      </c>
      <c r="D131" s="123">
        <v>-0.62323135755258119</v>
      </c>
      <c r="E131" s="122">
        <v>3336</v>
      </c>
      <c r="F131" s="123">
        <f t="shared" si="10"/>
        <v>-0.15351433646282664</v>
      </c>
      <c r="G131" s="122">
        <v>9917</v>
      </c>
      <c r="H131" s="123">
        <f t="shared" si="10"/>
        <v>1.9727218225419665</v>
      </c>
      <c r="I131" s="122">
        <v>11646</v>
      </c>
      <c r="J131" s="123">
        <f t="shared" si="10"/>
        <v>0.17434708077039418</v>
      </c>
      <c r="K131" s="122">
        <v>10656</v>
      </c>
      <c r="L131" s="123">
        <f t="shared" si="10"/>
        <v>-8.5007727975270453E-2</v>
      </c>
      <c r="M131" s="122">
        <v>5509</v>
      </c>
      <c r="N131" s="123">
        <v>-8.761179198410074E-2</v>
      </c>
    </row>
    <row r="132" spans="2:15" ht="6" customHeight="1" x14ac:dyDescent="0.25"/>
    <row r="133" spans="2:15" x14ac:dyDescent="0.25">
      <c r="B133" s="107" t="s">
        <v>57</v>
      </c>
      <c r="C133" s="107"/>
      <c r="D133" s="107"/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</row>
    <row r="134" spans="2:15" x14ac:dyDescent="0.25">
      <c r="K134" s="124"/>
      <c r="M134" s="124"/>
      <c r="N134" s="126"/>
    </row>
    <row r="136" spans="2:15" ht="48.75" customHeight="1" thickBot="1" x14ac:dyDescent="0.3">
      <c r="B136" s="278" t="s">
        <v>241</v>
      </c>
      <c r="C136" s="278"/>
      <c r="D136" s="278"/>
      <c r="E136" s="278"/>
      <c r="F136" s="278"/>
      <c r="G136" s="278"/>
      <c r="H136" s="278"/>
      <c r="I136" s="278"/>
      <c r="J136" s="278"/>
      <c r="K136" s="278"/>
      <c r="L136" s="278"/>
      <c r="M136" s="278"/>
      <c r="N136" s="278"/>
      <c r="O136" s="1" t="s">
        <v>113</v>
      </c>
    </row>
    <row r="137" spans="2:15" ht="10.5" customHeight="1" thickBot="1" x14ac:dyDescent="0.3">
      <c r="B137" s="108"/>
      <c r="C137" s="109"/>
      <c r="D137" s="108"/>
      <c r="E137" s="108"/>
      <c r="F137" s="108"/>
      <c r="G137" s="108"/>
      <c r="H137" s="108"/>
      <c r="I137" s="108"/>
      <c r="J137" s="108"/>
      <c r="K137" s="108"/>
      <c r="L137" s="108"/>
      <c r="M137" s="4"/>
      <c r="N137" s="4"/>
      <c r="O137" s="1" t="s">
        <v>114</v>
      </c>
    </row>
    <row r="138" spans="2:15" ht="22.5" thickTop="1" thickBot="1" x14ac:dyDescent="0.3">
      <c r="B138" s="125" t="str">
        <f>C138</f>
        <v>Alemania</v>
      </c>
      <c r="C138" s="303" t="s">
        <v>115</v>
      </c>
      <c r="D138" s="304"/>
      <c r="E138" s="304"/>
      <c r="F138" s="304"/>
      <c r="G138" s="304"/>
      <c r="H138" s="304"/>
      <c r="I138" s="304"/>
      <c r="J138" s="304"/>
      <c r="K138" s="304"/>
      <c r="L138" s="304"/>
      <c r="M138" s="304"/>
      <c r="N138" s="304"/>
    </row>
    <row r="139" spans="2:15" ht="22.5" thickTop="1" thickBot="1" x14ac:dyDescent="0.3">
      <c r="B139" s="111"/>
      <c r="C139" s="305">
        <f>C$7</f>
        <v>2020</v>
      </c>
      <c r="D139" s="306"/>
      <c r="E139" s="305">
        <f>E$7</f>
        <v>2021</v>
      </c>
      <c r="F139" s="306"/>
      <c r="G139" s="305">
        <f>G$7</f>
        <v>2022</v>
      </c>
      <c r="H139" s="306"/>
      <c r="I139" s="305">
        <f>I$7</f>
        <v>2023</v>
      </c>
      <c r="J139" s="306"/>
      <c r="K139" s="305">
        <f>K$7</f>
        <v>2024</v>
      </c>
      <c r="L139" s="306"/>
      <c r="M139" s="305">
        <f>M$7</f>
        <v>2025</v>
      </c>
      <c r="N139" s="306"/>
    </row>
    <row r="140" spans="2:15" ht="16.5" thickTop="1" thickBot="1" x14ac:dyDescent="0.3">
      <c r="B140" s="87"/>
      <c r="C140" s="115" t="s">
        <v>71</v>
      </c>
      <c r="D140" s="116" t="str">
        <f>CONCATENATE("var ",RIGHT(C139,2),"/",RIGHT(C139-1,2))</f>
        <v>var 20/19</v>
      </c>
      <c r="E140" s="117" t="s">
        <v>71</v>
      </c>
      <c r="F140" s="116" t="str">
        <f>CONCATENATE("var ",RIGHT(E139,2),"/",RIGHT(E139-1,2))</f>
        <v>var 21/20</v>
      </c>
      <c r="G140" s="117" t="s">
        <v>71</v>
      </c>
      <c r="H140" s="116" t="str">
        <f>CONCATENATE("var ",RIGHT(G139,2),"/",RIGHT(G139-1,2))</f>
        <v>var 22/21</v>
      </c>
      <c r="I140" s="117" t="s">
        <v>71</v>
      </c>
      <c r="J140" s="116" t="str">
        <f>CONCATENATE("var ",RIGHT(I139,2),"/",RIGHT(I139-1,2))</f>
        <v>var 23/22</v>
      </c>
      <c r="K140" s="117" t="s">
        <v>71</v>
      </c>
      <c r="L140" s="116" t="str">
        <f>CONCATENATE("var ",RIGHT(K139,2),"/",RIGHT(K139-1,2))</f>
        <v>var 24/23</v>
      </c>
      <c r="M140" s="117" t="s">
        <v>71</v>
      </c>
      <c r="N140" s="116" t="str">
        <f>CONCATENATE("var ",RIGHT(M139,2),"/",RIGHT(M139-1,2))</f>
        <v>var 25/24</v>
      </c>
    </row>
    <row r="141" spans="2:15" x14ac:dyDescent="0.25">
      <c r="B141" s="118" t="s">
        <v>73</v>
      </c>
      <c r="C141" s="119">
        <v>1281</v>
      </c>
      <c r="D141" s="120">
        <v>-0.15779092702169628</v>
      </c>
      <c r="E141" s="119">
        <v>234</v>
      </c>
      <c r="F141" s="120">
        <f t="shared" ref="F141:L153" si="12">IFERROR(E141/C141-1,"-")</f>
        <v>-0.81733021077283374</v>
      </c>
      <c r="G141" s="119">
        <v>951</v>
      </c>
      <c r="H141" s="120">
        <f t="shared" si="12"/>
        <v>3.0641025641025639</v>
      </c>
      <c r="I141" s="119">
        <v>2175</v>
      </c>
      <c r="J141" s="120">
        <f t="shared" si="12"/>
        <v>1.2870662460567823</v>
      </c>
      <c r="K141" s="119">
        <v>1964</v>
      </c>
      <c r="L141" s="120">
        <f t="shared" si="12"/>
        <v>-9.7011494252873587E-2</v>
      </c>
      <c r="M141" s="119">
        <v>2299</v>
      </c>
      <c r="N141" s="120">
        <f t="shared" ref="N141:N146" si="13">IFERROR(M141/K141-1,"-")</f>
        <v>0.17057026476578407</v>
      </c>
    </row>
    <row r="142" spans="2:15" x14ac:dyDescent="0.25">
      <c r="B142" s="118" t="s">
        <v>75</v>
      </c>
      <c r="C142" s="119">
        <v>1141</v>
      </c>
      <c r="D142" s="120">
        <v>2.0572450805008913E-2</v>
      </c>
      <c r="E142" s="119">
        <v>336</v>
      </c>
      <c r="F142" s="120">
        <f t="shared" si="12"/>
        <v>-0.70552147239263796</v>
      </c>
      <c r="G142" s="119">
        <v>938</v>
      </c>
      <c r="H142" s="120">
        <f t="shared" si="12"/>
        <v>1.7916666666666665</v>
      </c>
      <c r="I142" s="119">
        <v>1580</v>
      </c>
      <c r="J142" s="120">
        <f t="shared" si="12"/>
        <v>0.68443496801705761</v>
      </c>
      <c r="K142" s="119">
        <v>1621</v>
      </c>
      <c r="L142" s="120">
        <f t="shared" si="12"/>
        <v>2.5949367088607511E-2</v>
      </c>
      <c r="M142" s="119">
        <v>1849</v>
      </c>
      <c r="N142" s="120">
        <f t="shared" si="13"/>
        <v>0.14065391733497834</v>
      </c>
    </row>
    <row r="143" spans="2:15" x14ac:dyDescent="0.25">
      <c r="B143" s="118" t="s">
        <v>77</v>
      </c>
      <c r="C143" s="119">
        <v>472</v>
      </c>
      <c r="D143" s="120">
        <v>-0.61904761904761907</v>
      </c>
      <c r="E143" s="119">
        <v>488</v>
      </c>
      <c r="F143" s="120">
        <f t="shared" si="12"/>
        <v>3.3898305084745672E-2</v>
      </c>
      <c r="G143" s="119">
        <v>1100</v>
      </c>
      <c r="H143" s="120">
        <f t="shared" si="12"/>
        <v>1.2540983606557377</v>
      </c>
      <c r="I143" s="119">
        <v>1761</v>
      </c>
      <c r="J143" s="120">
        <f t="shared" si="12"/>
        <v>0.60090909090909084</v>
      </c>
      <c r="K143" s="119">
        <v>1731</v>
      </c>
      <c r="L143" s="120">
        <f t="shared" si="12"/>
        <v>-1.7035775127768327E-2</v>
      </c>
      <c r="M143" s="119">
        <v>2042</v>
      </c>
      <c r="N143" s="120">
        <f t="shared" si="13"/>
        <v>0.1796649335644136</v>
      </c>
    </row>
    <row r="144" spans="2:15" x14ac:dyDescent="0.25">
      <c r="B144" s="118" t="s">
        <v>79</v>
      </c>
      <c r="C144" s="119">
        <v>0</v>
      </c>
      <c r="D144" s="120">
        <v>-1</v>
      </c>
      <c r="E144" s="119">
        <v>331</v>
      </c>
      <c r="F144" s="120" t="str">
        <f t="shared" si="12"/>
        <v>-</v>
      </c>
      <c r="G144" s="119">
        <v>852</v>
      </c>
      <c r="H144" s="120">
        <f t="shared" si="12"/>
        <v>1.5740181268882174</v>
      </c>
      <c r="I144" s="119">
        <v>1142</v>
      </c>
      <c r="J144" s="120">
        <f t="shared" si="12"/>
        <v>0.34037558685446001</v>
      </c>
      <c r="K144" s="119">
        <v>987</v>
      </c>
      <c r="L144" s="120">
        <f t="shared" si="12"/>
        <v>-0.13572679509632224</v>
      </c>
      <c r="M144" s="119">
        <v>2042</v>
      </c>
      <c r="N144" s="120">
        <f t="shared" si="13"/>
        <v>1.0688956433637284</v>
      </c>
    </row>
    <row r="145" spans="1:15" x14ac:dyDescent="0.25">
      <c r="B145" s="118" t="s">
        <v>81</v>
      </c>
      <c r="C145" s="119">
        <v>0</v>
      </c>
      <c r="D145" s="120">
        <v>-1</v>
      </c>
      <c r="E145" s="119">
        <v>354</v>
      </c>
      <c r="F145" s="120" t="str">
        <f t="shared" si="12"/>
        <v>-</v>
      </c>
      <c r="G145" s="119">
        <v>480</v>
      </c>
      <c r="H145" s="120">
        <f t="shared" si="12"/>
        <v>0.35593220338983045</v>
      </c>
      <c r="I145" s="119">
        <v>474</v>
      </c>
      <c r="J145" s="120">
        <f t="shared" si="12"/>
        <v>-1.2499999999999956E-2</v>
      </c>
      <c r="K145" s="119">
        <v>450</v>
      </c>
      <c r="L145" s="120">
        <f t="shared" si="12"/>
        <v>-5.0632911392405111E-2</v>
      </c>
      <c r="M145" s="119">
        <v>2042</v>
      </c>
      <c r="N145" s="120">
        <f t="shared" si="13"/>
        <v>3.5377777777777775</v>
      </c>
    </row>
    <row r="146" spans="1:15" x14ac:dyDescent="0.25">
      <c r="B146" s="118" t="s">
        <v>83</v>
      </c>
      <c r="C146" s="119">
        <v>0</v>
      </c>
      <c r="D146" s="120">
        <v>-1</v>
      </c>
      <c r="E146" s="119">
        <v>380</v>
      </c>
      <c r="F146" s="120" t="str">
        <f t="shared" si="12"/>
        <v>-</v>
      </c>
      <c r="G146" s="119">
        <v>330</v>
      </c>
      <c r="H146" s="120">
        <f t="shared" si="12"/>
        <v>-0.13157894736842102</v>
      </c>
      <c r="I146" s="119">
        <v>472</v>
      </c>
      <c r="J146" s="120">
        <f t="shared" si="12"/>
        <v>0.43030303030303041</v>
      </c>
      <c r="K146" s="119">
        <v>414</v>
      </c>
      <c r="L146" s="120">
        <f t="shared" si="12"/>
        <v>-0.1228813559322034</v>
      </c>
      <c r="M146" s="119">
        <v>2042</v>
      </c>
      <c r="N146" s="120">
        <f t="shared" si="13"/>
        <v>3.9323671497584538</v>
      </c>
    </row>
    <row r="147" spans="1:15" x14ac:dyDescent="0.25">
      <c r="B147" s="118" t="s">
        <v>85</v>
      </c>
      <c r="C147" s="119">
        <v>0</v>
      </c>
      <c r="D147" s="120">
        <v>-1</v>
      </c>
      <c r="E147" s="119">
        <v>460</v>
      </c>
      <c r="F147" s="120" t="str">
        <f t="shared" si="12"/>
        <v>-</v>
      </c>
      <c r="G147" s="119">
        <v>456</v>
      </c>
      <c r="H147" s="120">
        <f t="shared" si="12"/>
        <v>-8.6956521739129933E-3</v>
      </c>
      <c r="I147" s="119">
        <v>509</v>
      </c>
      <c r="J147" s="120">
        <f t="shared" si="12"/>
        <v>0.11622807017543857</v>
      </c>
      <c r="K147" s="119">
        <v>495</v>
      </c>
      <c r="L147" s="120">
        <f t="shared" si="12"/>
        <v>-2.7504911591355596E-2</v>
      </c>
      <c r="M147" s="119"/>
      <c r="N147" s="120"/>
    </row>
    <row r="148" spans="1:15" x14ac:dyDescent="0.25">
      <c r="B148" s="118" t="s">
        <v>87</v>
      </c>
      <c r="C148" s="119">
        <v>169</v>
      </c>
      <c r="D148" s="120">
        <v>-0.53314917127071826</v>
      </c>
      <c r="E148" s="119">
        <v>399</v>
      </c>
      <c r="F148" s="120">
        <f t="shared" si="12"/>
        <v>1.36094674556213</v>
      </c>
      <c r="G148" s="119">
        <v>554</v>
      </c>
      <c r="H148" s="120">
        <f t="shared" si="12"/>
        <v>0.38847117794486219</v>
      </c>
      <c r="I148" s="119">
        <v>557</v>
      </c>
      <c r="J148" s="120">
        <f t="shared" si="12"/>
        <v>5.4151624548737232E-3</v>
      </c>
      <c r="K148" s="119">
        <v>633</v>
      </c>
      <c r="L148" s="120">
        <f t="shared" si="12"/>
        <v>0.13644524236983835</v>
      </c>
      <c r="M148" s="119"/>
      <c r="N148" s="120"/>
    </row>
    <row r="149" spans="1:15" x14ac:dyDescent="0.25">
      <c r="B149" s="118" t="s">
        <v>89</v>
      </c>
      <c r="C149" s="119">
        <v>122</v>
      </c>
      <c r="D149" s="120">
        <v>-0.6737967914438503</v>
      </c>
      <c r="E149" s="119">
        <v>487</v>
      </c>
      <c r="F149" s="120">
        <f t="shared" si="12"/>
        <v>2.9918032786885247</v>
      </c>
      <c r="G149" s="119">
        <v>710</v>
      </c>
      <c r="H149" s="120">
        <f t="shared" si="12"/>
        <v>0.4579055441478439</v>
      </c>
      <c r="I149" s="119">
        <v>556</v>
      </c>
      <c r="J149" s="120">
        <f t="shared" si="12"/>
        <v>-0.21690140845070427</v>
      </c>
      <c r="K149" s="119">
        <v>520</v>
      </c>
      <c r="L149" s="120">
        <f t="shared" si="12"/>
        <v>-6.4748201438848962E-2</v>
      </c>
      <c r="M149" s="119"/>
      <c r="N149" s="120"/>
    </row>
    <row r="150" spans="1:15" x14ac:dyDescent="0.25">
      <c r="A150" s="124"/>
      <c r="B150" s="118" t="s">
        <v>91</v>
      </c>
      <c r="C150" s="119">
        <v>152</v>
      </c>
      <c r="D150" s="120">
        <v>-0.80310880829015541</v>
      </c>
      <c r="E150" s="119">
        <v>957</v>
      </c>
      <c r="F150" s="120">
        <f t="shared" si="12"/>
        <v>5.2960526315789478</v>
      </c>
      <c r="G150" s="119">
        <v>1127</v>
      </c>
      <c r="H150" s="120">
        <f t="shared" si="12"/>
        <v>0.17763845350052243</v>
      </c>
      <c r="I150" s="119">
        <v>849</v>
      </c>
      <c r="J150" s="120">
        <f t="shared" si="12"/>
        <v>-0.24667258207630882</v>
      </c>
      <c r="K150" s="119">
        <v>789</v>
      </c>
      <c r="L150" s="120">
        <f t="shared" si="12"/>
        <v>-7.0671378091872739E-2</v>
      </c>
      <c r="M150" s="119"/>
      <c r="N150" s="120"/>
    </row>
    <row r="151" spans="1:15" x14ac:dyDescent="0.25">
      <c r="B151" s="118" t="s">
        <v>93</v>
      </c>
      <c r="C151" s="119">
        <v>295</v>
      </c>
      <c r="D151" s="120">
        <v>-0.72300469483568075</v>
      </c>
      <c r="E151" s="119">
        <v>1541</v>
      </c>
      <c r="F151" s="120">
        <f t="shared" si="12"/>
        <v>4.2237288135593216</v>
      </c>
      <c r="G151" s="119">
        <v>1713</v>
      </c>
      <c r="H151" s="120">
        <f t="shared" si="12"/>
        <v>0.11161583387410778</v>
      </c>
      <c r="I151" s="119">
        <v>1379</v>
      </c>
      <c r="J151" s="120">
        <f t="shared" si="12"/>
        <v>-0.19497956800934035</v>
      </c>
      <c r="K151" s="119">
        <v>1624</v>
      </c>
      <c r="L151" s="120">
        <f t="shared" si="12"/>
        <v>0.17766497461928932</v>
      </c>
      <c r="M151" s="119"/>
      <c r="N151" s="120"/>
    </row>
    <row r="152" spans="1:15" x14ac:dyDescent="0.25">
      <c r="B152" s="118" t="s">
        <v>95</v>
      </c>
      <c r="C152" s="119">
        <v>244</v>
      </c>
      <c r="D152" s="120">
        <v>-0.79983593109105822</v>
      </c>
      <c r="E152" s="119">
        <v>1347</v>
      </c>
      <c r="F152" s="120">
        <f t="shared" si="12"/>
        <v>4.5204918032786887</v>
      </c>
      <c r="G152" s="119">
        <v>2050</v>
      </c>
      <c r="H152" s="120">
        <f t="shared" si="12"/>
        <v>0.52190051967334816</v>
      </c>
      <c r="I152" s="119">
        <v>1862</v>
      </c>
      <c r="J152" s="120">
        <f t="shared" si="12"/>
        <v>-9.1707317073170702E-2</v>
      </c>
      <c r="K152" s="119">
        <v>1899</v>
      </c>
      <c r="L152" s="120">
        <f t="shared" si="12"/>
        <v>1.9871106337271849E-2</v>
      </c>
      <c r="M152" s="119"/>
      <c r="N152" s="120"/>
    </row>
    <row r="153" spans="1:15" ht="15.75" x14ac:dyDescent="0.25">
      <c r="B153" s="121" t="s">
        <v>32</v>
      </c>
      <c r="C153" s="122">
        <v>4053</v>
      </c>
      <c r="D153" s="123">
        <v>-0.57560209424083775</v>
      </c>
      <c r="E153" s="122">
        <v>7314</v>
      </c>
      <c r="F153" s="123">
        <f t="shared" si="12"/>
        <v>0.80458919319022937</v>
      </c>
      <c r="G153" s="122">
        <v>11261</v>
      </c>
      <c r="H153" s="123">
        <f t="shared" si="12"/>
        <v>0.53964998632759098</v>
      </c>
      <c r="I153" s="122">
        <v>13316</v>
      </c>
      <c r="J153" s="123">
        <f t="shared" si="12"/>
        <v>0.18248823372702239</v>
      </c>
      <c r="K153" s="122">
        <v>13127</v>
      </c>
      <c r="L153" s="123">
        <f t="shared" si="12"/>
        <v>-1.4193451486932962E-2</v>
      </c>
      <c r="M153" s="122">
        <v>8018</v>
      </c>
      <c r="N153" s="123">
        <v>0.11873866331798522</v>
      </c>
    </row>
    <row r="154" spans="1:15" ht="6" customHeight="1" x14ac:dyDescent="0.25"/>
    <row r="155" spans="1:15" x14ac:dyDescent="0.25">
      <c r="B155" s="107" t="s">
        <v>57</v>
      </c>
      <c r="C155" s="107"/>
      <c r="D155" s="107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</row>
    <row r="156" spans="1:15" x14ac:dyDescent="0.25">
      <c r="K156" s="124"/>
      <c r="N156" s="127"/>
    </row>
    <row r="158" spans="1:15" ht="48.75" customHeight="1" thickBot="1" x14ac:dyDescent="0.3">
      <c r="B158" s="278" t="s">
        <v>242</v>
      </c>
      <c r="C158" s="278"/>
      <c r="D158" s="278"/>
      <c r="E158" s="278"/>
      <c r="F158" s="278"/>
      <c r="G158" s="278"/>
      <c r="H158" s="278"/>
      <c r="I158" s="278"/>
      <c r="J158" s="278"/>
      <c r="K158" s="278"/>
      <c r="L158" s="278"/>
      <c r="M158" s="278"/>
      <c r="N158" s="278"/>
      <c r="O158" s="1" t="s">
        <v>116</v>
      </c>
    </row>
    <row r="159" spans="1:15" ht="10.5" customHeight="1" thickBot="1" x14ac:dyDescent="0.3">
      <c r="B159" s="108"/>
      <c r="C159" s="109"/>
      <c r="D159" s="108"/>
      <c r="E159" s="108"/>
      <c r="F159" s="108"/>
      <c r="G159" s="108"/>
      <c r="H159" s="108"/>
      <c r="I159" s="108"/>
      <c r="J159" s="108"/>
      <c r="K159" s="108"/>
      <c r="L159" s="108"/>
      <c r="M159" s="4"/>
      <c r="N159" s="4"/>
      <c r="O159" s="1" t="s">
        <v>117</v>
      </c>
    </row>
    <row r="160" spans="1:15" ht="22.5" thickTop="1" thickBot="1" x14ac:dyDescent="0.3">
      <c r="B160" s="125" t="str">
        <f>C160</f>
        <v>Francia</v>
      </c>
      <c r="C160" s="303" t="s">
        <v>118</v>
      </c>
      <c r="D160" s="304"/>
      <c r="E160" s="304"/>
      <c r="F160" s="304"/>
      <c r="G160" s="304"/>
      <c r="H160" s="304"/>
      <c r="I160" s="304"/>
      <c r="J160" s="304"/>
      <c r="K160" s="304"/>
      <c r="L160" s="304"/>
      <c r="M160" s="304"/>
      <c r="N160" s="304"/>
    </row>
    <row r="161" spans="2:14" ht="22.5" thickTop="1" thickBot="1" x14ac:dyDescent="0.3">
      <c r="B161" s="111"/>
      <c r="C161" s="305">
        <f>C$7</f>
        <v>2020</v>
      </c>
      <c r="D161" s="306"/>
      <c r="E161" s="305">
        <f>E$7</f>
        <v>2021</v>
      </c>
      <c r="F161" s="306"/>
      <c r="G161" s="305">
        <f>G$7</f>
        <v>2022</v>
      </c>
      <c r="H161" s="306"/>
      <c r="I161" s="305">
        <f>I$7</f>
        <v>2023</v>
      </c>
      <c r="J161" s="306"/>
      <c r="K161" s="305">
        <f>K$7</f>
        <v>2024</v>
      </c>
      <c r="L161" s="306"/>
      <c r="M161" s="305">
        <f>M$7</f>
        <v>2025</v>
      </c>
      <c r="N161" s="306"/>
    </row>
    <row r="162" spans="2:14" ht="16.5" thickTop="1" thickBot="1" x14ac:dyDescent="0.3">
      <c r="B162" s="87"/>
      <c r="C162" s="115" t="s">
        <v>71</v>
      </c>
      <c r="D162" s="116" t="str">
        <f>CONCATENATE("var ",RIGHT(C161,2),"/",RIGHT(C161-1,2))</f>
        <v>var 20/19</v>
      </c>
      <c r="E162" s="117" t="s">
        <v>71</v>
      </c>
      <c r="F162" s="116" t="str">
        <f>CONCATENATE("var ",RIGHT(E161,2),"/",RIGHT(E161-1,2))</f>
        <v>var 21/20</v>
      </c>
      <c r="G162" s="117" t="s">
        <v>71</v>
      </c>
      <c r="H162" s="116" t="str">
        <f>CONCATENATE("var ",RIGHT(G161,2),"/",RIGHT(G161-1,2))</f>
        <v>var 22/21</v>
      </c>
      <c r="I162" s="117" t="s">
        <v>71</v>
      </c>
      <c r="J162" s="116" t="str">
        <f>CONCATENATE("var ",RIGHT(I161,2),"/",RIGHT(I161-1,2))</f>
        <v>var 23/22</v>
      </c>
      <c r="K162" s="117" t="s">
        <v>71</v>
      </c>
      <c r="L162" s="116" t="str">
        <f>CONCATENATE("var ",RIGHT(K161,2),"/",RIGHT(K161-1,2))</f>
        <v>var 24/23</v>
      </c>
      <c r="M162" s="117" t="s">
        <v>71</v>
      </c>
      <c r="N162" s="116" t="str">
        <f>CONCATENATE("var ",RIGHT(M161,2),"/",RIGHT(M161-1,2))</f>
        <v>var 25/24</v>
      </c>
    </row>
    <row r="163" spans="2:14" x14ac:dyDescent="0.25">
      <c r="B163" s="118" t="s">
        <v>73</v>
      </c>
      <c r="C163" s="119">
        <v>701</v>
      </c>
      <c r="D163" s="120">
        <v>9.8746081504702099E-2</v>
      </c>
      <c r="E163" s="119">
        <v>254</v>
      </c>
      <c r="F163" s="120">
        <f t="shared" ref="F163:L175" si="14">IFERROR(E163/C163-1,"-")</f>
        <v>-0.63766048502139805</v>
      </c>
      <c r="G163" s="119">
        <v>659</v>
      </c>
      <c r="H163" s="120">
        <f t="shared" si="14"/>
        <v>1.5944881889763778</v>
      </c>
      <c r="I163" s="119">
        <v>1025</v>
      </c>
      <c r="J163" s="120">
        <f t="shared" si="14"/>
        <v>0.55538694992412752</v>
      </c>
      <c r="K163" s="119">
        <v>851</v>
      </c>
      <c r="L163" s="120">
        <f t="shared" si="14"/>
        <v>-0.16975609756097565</v>
      </c>
      <c r="M163" s="119">
        <v>858</v>
      </c>
      <c r="N163" s="120">
        <f t="shared" ref="N163:N168" si="15">IFERROR(M163/K163-1,"-")</f>
        <v>8.2256169212691077E-3</v>
      </c>
    </row>
    <row r="164" spans="2:14" x14ac:dyDescent="0.25">
      <c r="B164" s="118" t="s">
        <v>75</v>
      </c>
      <c r="C164" s="119">
        <v>860</v>
      </c>
      <c r="D164" s="120">
        <v>0.12565445026178002</v>
      </c>
      <c r="E164" s="119">
        <v>349</v>
      </c>
      <c r="F164" s="120">
        <f t="shared" si="14"/>
        <v>-0.59418604651162799</v>
      </c>
      <c r="G164" s="119">
        <v>884</v>
      </c>
      <c r="H164" s="120">
        <f t="shared" si="14"/>
        <v>1.5329512893982806</v>
      </c>
      <c r="I164" s="119">
        <v>854</v>
      </c>
      <c r="J164" s="120">
        <f t="shared" si="14"/>
        <v>-3.3936651583710398E-2</v>
      </c>
      <c r="K164" s="119">
        <v>776</v>
      </c>
      <c r="L164" s="120">
        <f t="shared" si="14"/>
        <v>-9.1334894613583129E-2</v>
      </c>
      <c r="M164" s="119">
        <v>1068</v>
      </c>
      <c r="N164" s="120">
        <f t="shared" si="15"/>
        <v>0.37628865979381443</v>
      </c>
    </row>
    <row r="165" spans="2:14" x14ac:dyDescent="0.25">
      <c r="B165" s="118" t="s">
        <v>77</v>
      </c>
      <c r="C165" s="119">
        <v>389</v>
      </c>
      <c r="D165" s="120">
        <v>-0.36229508196721316</v>
      </c>
      <c r="E165" s="119">
        <v>544</v>
      </c>
      <c r="F165" s="120">
        <f t="shared" si="14"/>
        <v>0.39845758354755789</v>
      </c>
      <c r="G165" s="119">
        <v>918</v>
      </c>
      <c r="H165" s="120">
        <f t="shared" si="14"/>
        <v>0.6875</v>
      </c>
      <c r="I165" s="119">
        <v>952</v>
      </c>
      <c r="J165" s="120">
        <f t="shared" si="14"/>
        <v>3.7037037037036979E-2</v>
      </c>
      <c r="K165" s="119">
        <v>929</v>
      </c>
      <c r="L165" s="120">
        <f t="shared" si="14"/>
        <v>-2.4159663865546244E-2</v>
      </c>
      <c r="M165" s="119">
        <v>747</v>
      </c>
      <c r="N165" s="120">
        <f t="shared" si="15"/>
        <v>-0.1959095801937567</v>
      </c>
    </row>
    <row r="166" spans="2:14" x14ac:dyDescent="0.25">
      <c r="B166" s="118" t="s">
        <v>79</v>
      </c>
      <c r="C166" s="119">
        <v>0</v>
      </c>
      <c r="D166" s="120">
        <v>-1</v>
      </c>
      <c r="E166" s="119">
        <v>552</v>
      </c>
      <c r="F166" s="120" t="str">
        <f t="shared" si="14"/>
        <v>-</v>
      </c>
      <c r="G166" s="119">
        <v>591</v>
      </c>
      <c r="H166" s="120">
        <f t="shared" si="14"/>
        <v>7.0652173913043459E-2</v>
      </c>
      <c r="I166" s="119">
        <v>615</v>
      </c>
      <c r="J166" s="120">
        <f t="shared" si="14"/>
        <v>4.0609137055837463E-2</v>
      </c>
      <c r="K166" s="119">
        <v>585</v>
      </c>
      <c r="L166" s="120">
        <f t="shared" si="14"/>
        <v>-4.8780487804878092E-2</v>
      </c>
      <c r="M166" s="119">
        <v>630</v>
      </c>
      <c r="N166" s="120">
        <f t="shared" si="15"/>
        <v>7.6923076923076872E-2</v>
      </c>
    </row>
    <row r="167" spans="2:14" x14ac:dyDescent="0.25">
      <c r="B167" s="118" t="s">
        <v>81</v>
      </c>
      <c r="C167" s="119">
        <v>0</v>
      </c>
      <c r="D167" s="120">
        <v>-1</v>
      </c>
      <c r="E167" s="119">
        <v>803</v>
      </c>
      <c r="F167" s="120" t="str">
        <f t="shared" si="14"/>
        <v>-</v>
      </c>
      <c r="G167" s="119">
        <v>585</v>
      </c>
      <c r="H167" s="120">
        <f t="shared" si="14"/>
        <v>-0.2714819427148194</v>
      </c>
      <c r="I167" s="119">
        <v>589</v>
      </c>
      <c r="J167" s="120">
        <f t="shared" si="14"/>
        <v>6.8376068376068133E-3</v>
      </c>
      <c r="K167" s="119">
        <v>640</v>
      </c>
      <c r="L167" s="120">
        <f t="shared" si="14"/>
        <v>8.6587436332767442E-2</v>
      </c>
      <c r="M167" s="119">
        <v>580</v>
      </c>
      <c r="N167" s="120">
        <f t="shared" si="15"/>
        <v>-9.375E-2</v>
      </c>
    </row>
    <row r="168" spans="2:14" x14ac:dyDescent="0.25">
      <c r="B168" s="118" t="s">
        <v>83</v>
      </c>
      <c r="C168" s="119">
        <v>0</v>
      </c>
      <c r="D168" s="120">
        <v>-1</v>
      </c>
      <c r="E168" s="119">
        <v>396</v>
      </c>
      <c r="F168" s="120" t="str">
        <f t="shared" si="14"/>
        <v>-</v>
      </c>
      <c r="G168" s="119">
        <v>399</v>
      </c>
      <c r="H168" s="120">
        <f t="shared" si="14"/>
        <v>7.575757575757569E-3</v>
      </c>
      <c r="I168" s="119">
        <v>441</v>
      </c>
      <c r="J168" s="120">
        <f t="shared" si="14"/>
        <v>0.10526315789473695</v>
      </c>
      <c r="K168" s="119">
        <v>365</v>
      </c>
      <c r="L168" s="120">
        <f t="shared" si="14"/>
        <v>-0.17233560090702948</v>
      </c>
      <c r="M168" s="119">
        <v>392</v>
      </c>
      <c r="N168" s="120">
        <f t="shared" si="15"/>
        <v>7.3972602739726057E-2</v>
      </c>
    </row>
    <row r="169" spans="2:14" x14ac:dyDescent="0.25">
      <c r="B169" s="118" t="s">
        <v>85</v>
      </c>
      <c r="C169" s="119">
        <v>0</v>
      </c>
      <c r="D169" s="120">
        <v>-1</v>
      </c>
      <c r="E169" s="119">
        <v>577</v>
      </c>
      <c r="F169" s="120" t="str">
        <f t="shared" si="14"/>
        <v>-</v>
      </c>
      <c r="G169" s="119">
        <v>405</v>
      </c>
      <c r="H169" s="120">
        <f t="shared" si="14"/>
        <v>-0.29809358752166382</v>
      </c>
      <c r="I169" s="119">
        <v>479</v>
      </c>
      <c r="J169" s="120">
        <f t="shared" si="14"/>
        <v>0.18271604938271602</v>
      </c>
      <c r="K169" s="119">
        <v>436</v>
      </c>
      <c r="L169" s="120">
        <f t="shared" si="14"/>
        <v>-8.9770354906054228E-2</v>
      </c>
      <c r="M169" s="119"/>
      <c r="N169" s="120"/>
    </row>
    <row r="170" spans="2:14" x14ac:dyDescent="0.25">
      <c r="B170" s="118" t="s">
        <v>87</v>
      </c>
      <c r="C170" s="119">
        <v>171</v>
      </c>
      <c r="D170" s="120">
        <v>-0.70967741935483875</v>
      </c>
      <c r="E170" s="119">
        <v>855</v>
      </c>
      <c r="F170" s="120">
        <f t="shared" si="14"/>
        <v>4</v>
      </c>
      <c r="G170" s="119">
        <v>879</v>
      </c>
      <c r="H170" s="120">
        <f t="shared" si="14"/>
        <v>2.8070175438596578E-2</v>
      </c>
      <c r="I170" s="119">
        <v>818</v>
      </c>
      <c r="J170" s="120">
        <f t="shared" si="14"/>
        <v>-6.9397042093287786E-2</v>
      </c>
      <c r="K170" s="119">
        <v>1062</v>
      </c>
      <c r="L170" s="120">
        <f t="shared" si="14"/>
        <v>0.29828850855745714</v>
      </c>
      <c r="M170" s="119"/>
      <c r="N170" s="120"/>
    </row>
    <row r="171" spans="2:14" x14ac:dyDescent="0.25">
      <c r="B171" s="118" t="s">
        <v>89</v>
      </c>
      <c r="C171" s="119">
        <v>103</v>
      </c>
      <c r="D171" s="120">
        <v>-0.78038379530916846</v>
      </c>
      <c r="E171" s="119">
        <v>553</v>
      </c>
      <c r="F171" s="120">
        <f t="shared" si="14"/>
        <v>4.3689320388349513</v>
      </c>
      <c r="G171" s="119">
        <v>557</v>
      </c>
      <c r="H171" s="120">
        <f t="shared" si="14"/>
        <v>7.2332730560578096E-3</v>
      </c>
      <c r="I171" s="119">
        <v>548</v>
      </c>
      <c r="J171" s="120">
        <f t="shared" si="14"/>
        <v>-1.6157989228007152E-2</v>
      </c>
      <c r="K171" s="119">
        <v>597</v>
      </c>
      <c r="L171" s="120">
        <f t="shared" si="14"/>
        <v>8.9416058394160558E-2</v>
      </c>
      <c r="M171" s="119"/>
      <c r="N171" s="120"/>
    </row>
    <row r="172" spans="2:14" x14ac:dyDescent="0.25">
      <c r="B172" s="118" t="s">
        <v>91</v>
      </c>
      <c r="C172" s="119">
        <v>199</v>
      </c>
      <c r="D172" s="120">
        <v>-0.64902998236331566</v>
      </c>
      <c r="E172" s="119">
        <v>633</v>
      </c>
      <c r="F172" s="120">
        <f t="shared" si="14"/>
        <v>2.1809045226130652</v>
      </c>
      <c r="G172" s="119">
        <v>660</v>
      </c>
      <c r="H172" s="120">
        <f t="shared" si="14"/>
        <v>4.2654028436019065E-2</v>
      </c>
      <c r="I172" s="119">
        <v>726</v>
      </c>
      <c r="J172" s="120">
        <f t="shared" si="14"/>
        <v>0.10000000000000009</v>
      </c>
      <c r="K172" s="119">
        <v>682</v>
      </c>
      <c r="L172" s="120">
        <f t="shared" si="14"/>
        <v>-6.0606060606060552E-2</v>
      </c>
      <c r="M172" s="119"/>
      <c r="N172" s="120"/>
    </row>
    <row r="173" spans="2:14" x14ac:dyDescent="0.25">
      <c r="B173" s="118" t="s">
        <v>93</v>
      </c>
      <c r="C173" s="119">
        <v>107</v>
      </c>
      <c r="D173" s="120">
        <v>-0.82343234323432346</v>
      </c>
      <c r="E173" s="119">
        <v>866</v>
      </c>
      <c r="F173" s="120">
        <f t="shared" si="14"/>
        <v>7.0934579439252339</v>
      </c>
      <c r="G173" s="119">
        <v>960</v>
      </c>
      <c r="H173" s="120">
        <f t="shared" si="14"/>
        <v>0.10854503464203225</v>
      </c>
      <c r="I173" s="119">
        <v>984</v>
      </c>
      <c r="J173" s="120">
        <f t="shared" si="14"/>
        <v>2.4999999999999911E-2</v>
      </c>
      <c r="K173" s="119">
        <v>797</v>
      </c>
      <c r="L173" s="120">
        <f t="shared" si="14"/>
        <v>-0.19004065040650409</v>
      </c>
      <c r="M173" s="119"/>
      <c r="N173" s="120"/>
    </row>
    <row r="174" spans="2:14" x14ac:dyDescent="0.25">
      <c r="B174" s="118" t="s">
        <v>95</v>
      </c>
      <c r="C174" s="119">
        <v>244</v>
      </c>
      <c r="D174" s="120">
        <v>-0.60453808752025928</v>
      </c>
      <c r="E174" s="119">
        <v>752</v>
      </c>
      <c r="F174" s="120">
        <f t="shared" si="14"/>
        <v>2.081967213114754</v>
      </c>
      <c r="G174" s="119">
        <v>1027</v>
      </c>
      <c r="H174" s="120">
        <f t="shared" si="14"/>
        <v>0.36569148936170204</v>
      </c>
      <c r="I174" s="119">
        <v>725</v>
      </c>
      <c r="J174" s="120">
        <f t="shared" si="14"/>
        <v>-0.29406037000973706</v>
      </c>
      <c r="K174" s="119">
        <v>847</v>
      </c>
      <c r="L174" s="120">
        <f t="shared" si="14"/>
        <v>0.1682758620689655</v>
      </c>
      <c r="M174" s="119"/>
      <c r="N174" s="120"/>
    </row>
    <row r="175" spans="2:14" ht="15.75" x14ac:dyDescent="0.25">
      <c r="B175" s="121" t="s">
        <v>32</v>
      </c>
      <c r="C175" s="122">
        <v>2906</v>
      </c>
      <c r="D175" s="123">
        <v>-0.56685049932925913</v>
      </c>
      <c r="E175" s="122">
        <v>7134</v>
      </c>
      <c r="F175" s="123">
        <f t="shared" si="14"/>
        <v>1.4549208534067448</v>
      </c>
      <c r="G175" s="122">
        <v>8524</v>
      </c>
      <c r="H175" s="123">
        <f t="shared" si="14"/>
        <v>0.19484160358844971</v>
      </c>
      <c r="I175" s="122">
        <v>8756</v>
      </c>
      <c r="J175" s="123">
        <f t="shared" si="14"/>
        <v>2.7217268887846036E-2</v>
      </c>
      <c r="K175" s="122">
        <v>8567</v>
      </c>
      <c r="L175" s="123">
        <f t="shared" si="14"/>
        <v>-2.1585198720877163E-2</v>
      </c>
      <c r="M175" s="122">
        <v>4275</v>
      </c>
      <c r="N175" s="123">
        <v>3.1114327062228719E-2</v>
      </c>
    </row>
    <row r="176" spans="2:14" ht="6" customHeight="1" x14ac:dyDescent="0.25"/>
    <row r="177" spans="1:15" x14ac:dyDescent="0.25">
      <c r="B177" s="107" t="s">
        <v>57</v>
      </c>
      <c r="C177" s="107"/>
      <c r="D177" s="107"/>
      <c r="E177" s="107"/>
      <c r="F177" s="107"/>
      <c r="G177" s="107"/>
      <c r="H177" s="107"/>
      <c r="I177" s="107"/>
      <c r="J177" s="107"/>
      <c r="K177" s="128"/>
      <c r="L177" s="107"/>
      <c r="M177" s="107"/>
      <c r="N177" s="107"/>
    </row>
    <row r="180" spans="1:15" ht="48.75" customHeight="1" thickBot="1" x14ac:dyDescent="0.3">
      <c r="B180" s="278" t="s">
        <v>243</v>
      </c>
      <c r="C180" s="278"/>
      <c r="D180" s="278"/>
      <c r="E180" s="278"/>
      <c r="F180" s="278"/>
      <c r="G180" s="278"/>
      <c r="H180" s="278"/>
      <c r="I180" s="278"/>
      <c r="J180" s="278"/>
      <c r="K180" s="278"/>
      <c r="L180" s="278"/>
      <c r="M180" s="278"/>
      <c r="N180" s="278"/>
      <c r="O180" s="1" t="s">
        <v>119</v>
      </c>
    </row>
    <row r="181" spans="1:15" ht="10.5" customHeight="1" thickBot="1" x14ac:dyDescent="0.3">
      <c r="B181" s="108"/>
      <c r="C181" s="109"/>
      <c r="D181" s="108"/>
      <c r="E181" s="108"/>
      <c r="F181" s="108"/>
      <c r="G181" s="108"/>
      <c r="H181" s="108"/>
      <c r="I181" s="108"/>
      <c r="J181" s="108"/>
      <c r="K181" s="108"/>
      <c r="L181" s="108"/>
      <c r="M181" s="4"/>
      <c r="N181" s="4"/>
      <c r="O181" s="1" t="s">
        <v>120</v>
      </c>
    </row>
    <row r="182" spans="1:15" ht="22.5" thickTop="1" thickBot="1" x14ac:dyDescent="0.3">
      <c r="B182" s="125" t="str">
        <f>C182</f>
        <v>Bélgica</v>
      </c>
      <c r="C182" s="303" t="s">
        <v>121</v>
      </c>
      <c r="D182" s="304"/>
      <c r="E182" s="304"/>
      <c r="F182" s="304"/>
      <c r="G182" s="304"/>
      <c r="H182" s="304"/>
      <c r="I182" s="304"/>
      <c r="J182" s="304"/>
      <c r="K182" s="304"/>
      <c r="L182" s="304"/>
      <c r="M182" s="304"/>
      <c r="N182" s="304"/>
    </row>
    <row r="183" spans="1:15" ht="22.5" thickTop="1" thickBot="1" x14ac:dyDescent="0.3">
      <c r="B183" s="111"/>
      <c r="C183" s="305">
        <f>C$7</f>
        <v>2020</v>
      </c>
      <c r="D183" s="306"/>
      <c r="E183" s="305">
        <f>E$7</f>
        <v>2021</v>
      </c>
      <c r="F183" s="306"/>
      <c r="G183" s="305">
        <f>G$7</f>
        <v>2022</v>
      </c>
      <c r="H183" s="306"/>
      <c r="I183" s="305">
        <f>I$7</f>
        <v>2023</v>
      </c>
      <c r="J183" s="306"/>
      <c r="K183" s="305">
        <f>K$7</f>
        <v>2024</v>
      </c>
      <c r="L183" s="306"/>
      <c r="M183" s="305">
        <f>M$7</f>
        <v>2025</v>
      </c>
      <c r="N183" s="306"/>
    </row>
    <row r="184" spans="1:15" ht="16.5" thickTop="1" thickBot="1" x14ac:dyDescent="0.3">
      <c r="B184" s="87"/>
      <c r="C184" s="115" t="s">
        <v>71</v>
      </c>
      <c r="D184" s="116" t="str">
        <f>CONCATENATE("var ",RIGHT(C183,2),"/",RIGHT(C183-1,2))</f>
        <v>var 20/19</v>
      </c>
      <c r="E184" s="117" t="s">
        <v>71</v>
      </c>
      <c r="F184" s="116" t="str">
        <f>CONCATENATE("var ",RIGHT(E183,2),"/",RIGHT(E183-1,2))</f>
        <v>var 21/20</v>
      </c>
      <c r="G184" s="117" t="s">
        <v>71</v>
      </c>
      <c r="H184" s="116" t="str">
        <f>CONCATENATE("var ",RIGHT(G183,2),"/",RIGHT(G183-1,2))</f>
        <v>var 22/21</v>
      </c>
      <c r="I184" s="117" t="s">
        <v>71</v>
      </c>
      <c r="J184" s="116" t="str">
        <f>CONCATENATE("var ",RIGHT(I183,2),"/",RIGHT(I183-1,2))</f>
        <v>var 23/22</v>
      </c>
      <c r="K184" s="117" t="s">
        <v>71</v>
      </c>
      <c r="L184" s="116" t="str">
        <f>CONCATENATE("var ",RIGHT(K183,2),"/",RIGHT(K183-1,2))</f>
        <v>var 24/23</v>
      </c>
      <c r="M184" s="117" t="s">
        <v>71</v>
      </c>
      <c r="N184" s="116" t="str">
        <f>CONCATENATE("var ",RIGHT(M183,2),"/",RIGHT(M183-1,2))</f>
        <v>var 25/24</v>
      </c>
    </row>
    <row r="185" spans="1:15" x14ac:dyDescent="0.25">
      <c r="A185" s="124"/>
      <c r="B185" s="118" t="s">
        <v>73</v>
      </c>
      <c r="C185" s="119">
        <v>222</v>
      </c>
      <c r="D185" s="120">
        <v>0.53103448275862064</v>
      </c>
      <c r="E185" s="119">
        <v>43</v>
      </c>
      <c r="F185" s="120">
        <f t="shared" ref="F185:L197" si="16">IFERROR(E185/C185-1,"-")</f>
        <v>-0.80630630630630629</v>
      </c>
      <c r="G185" s="119">
        <v>170</v>
      </c>
      <c r="H185" s="120">
        <f t="shared" si="16"/>
        <v>2.9534883720930232</v>
      </c>
      <c r="I185" s="119">
        <v>239</v>
      </c>
      <c r="J185" s="120">
        <f t="shared" si="16"/>
        <v>0.40588235294117636</v>
      </c>
      <c r="K185" s="119">
        <v>277</v>
      </c>
      <c r="L185" s="120">
        <f t="shared" si="16"/>
        <v>0.15899581589958167</v>
      </c>
      <c r="M185" s="119">
        <v>323</v>
      </c>
      <c r="N185" s="120">
        <f t="shared" ref="N185:N188" si="17">IFERROR(M185/K185-1,"-")</f>
        <v>0.1660649819494584</v>
      </c>
    </row>
    <row r="186" spans="1:15" x14ac:dyDescent="0.25">
      <c r="B186" s="118" t="s">
        <v>75</v>
      </c>
      <c r="C186" s="119">
        <v>148</v>
      </c>
      <c r="D186" s="120">
        <v>7.2463768115942129E-2</v>
      </c>
      <c r="E186" s="119">
        <v>37</v>
      </c>
      <c r="F186" s="120">
        <f t="shared" si="16"/>
        <v>-0.75</v>
      </c>
      <c r="G186" s="119">
        <v>179</v>
      </c>
      <c r="H186" s="120">
        <f t="shared" si="16"/>
        <v>3.8378378378378377</v>
      </c>
      <c r="I186" s="119">
        <v>200</v>
      </c>
      <c r="J186" s="120">
        <f t="shared" si="16"/>
        <v>0.11731843575418988</v>
      </c>
      <c r="K186" s="119">
        <v>198</v>
      </c>
      <c r="L186" s="120">
        <f t="shared" si="16"/>
        <v>-1.0000000000000009E-2</v>
      </c>
      <c r="M186" s="119">
        <v>222</v>
      </c>
      <c r="N186" s="120">
        <f t="shared" si="17"/>
        <v>0.1212121212121211</v>
      </c>
    </row>
    <row r="187" spans="1:15" x14ac:dyDescent="0.25">
      <c r="B187" s="118" t="s">
        <v>77</v>
      </c>
      <c r="C187" s="119">
        <v>85</v>
      </c>
      <c r="D187" s="120">
        <v>-0.38405797101449279</v>
      </c>
      <c r="E187" s="119">
        <v>32</v>
      </c>
      <c r="F187" s="120">
        <f t="shared" si="16"/>
        <v>-0.62352941176470589</v>
      </c>
      <c r="G187" s="119">
        <v>197</v>
      </c>
      <c r="H187" s="120">
        <f t="shared" si="16"/>
        <v>5.15625</v>
      </c>
      <c r="I187" s="119">
        <v>206</v>
      </c>
      <c r="J187" s="120">
        <f t="shared" si="16"/>
        <v>4.5685279187817285E-2</v>
      </c>
      <c r="K187" s="119">
        <v>181</v>
      </c>
      <c r="L187" s="120">
        <f t="shared" si="16"/>
        <v>-0.12135922330097082</v>
      </c>
      <c r="M187" s="119">
        <v>183</v>
      </c>
      <c r="N187" s="120">
        <f t="shared" si="17"/>
        <v>1.1049723756906049E-2</v>
      </c>
    </row>
    <row r="188" spans="1:15" x14ac:dyDescent="0.25">
      <c r="B188" s="118" t="s">
        <v>79</v>
      </c>
      <c r="C188" s="119">
        <v>0</v>
      </c>
      <c r="D188" s="120">
        <v>-1</v>
      </c>
      <c r="E188" s="119">
        <v>31</v>
      </c>
      <c r="F188" s="120" t="str">
        <f t="shared" si="16"/>
        <v>-</v>
      </c>
      <c r="G188" s="119">
        <v>118</v>
      </c>
      <c r="H188" s="120">
        <f t="shared" si="16"/>
        <v>2.806451612903226</v>
      </c>
      <c r="I188" s="119">
        <v>119</v>
      </c>
      <c r="J188" s="120">
        <f t="shared" si="16"/>
        <v>8.4745762711864181E-3</v>
      </c>
      <c r="K188" s="119">
        <v>107</v>
      </c>
      <c r="L188" s="120">
        <f t="shared" si="16"/>
        <v>-0.10084033613445376</v>
      </c>
      <c r="M188" s="119">
        <v>135</v>
      </c>
      <c r="N188" s="120">
        <f t="shared" si="17"/>
        <v>0.26168224299065423</v>
      </c>
    </row>
    <row r="189" spans="1:15" x14ac:dyDescent="0.25">
      <c r="B189" s="118" t="s">
        <v>81</v>
      </c>
      <c r="C189" s="119">
        <v>0</v>
      </c>
      <c r="D189" s="120">
        <v>-1</v>
      </c>
      <c r="E189" s="119">
        <v>99</v>
      </c>
      <c r="F189" s="120" t="str">
        <f t="shared" si="16"/>
        <v>-</v>
      </c>
      <c r="G189" s="119">
        <v>117</v>
      </c>
      <c r="H189" s="120">
        <f t="shared" si="16"/>
        <v>0.18181818181818188</v>
      </c>
      <c r="I189" s="119">
        <v>90</v>
      </c>
      <c r="J189" s="120">
        <f t="shared" si="16"/>
        <v>-0.23076923076923073</v>
      </c>
      <c r="K189" s="119">
        <v>133</v>
      </c>
      <c r="L189" s="120">
        <f t="shared" si="16"/>
        <v>0.47777777777777786</v>
      </c>
      <c r="M189" s="119">
        <v>153</v>
      </c>
      <c r="N189" s="120">
        <f>IFERROR(M189/K189-1,"-")</f>
        <v>0.15037593984962405</v>
      </c>
    </row>
    <row r="190" spans="1:15" x14ac:dyDescent="0.25">
      <c r="B190" s="118" t="s">
        <v>122</v>
      </c>
      <c r="C190" s="119">
        <v>0</v>
      </c>
      <c r="D190" s="120">
        <v>-1</v>
      </c>
      <c r="E190" s="119">
        <v>63</v>
      </c>
      <c r="F190" s="120" t="str">
        <f t="shared" si="16"/>
        <v>-</v>
      </c>
      <c r="G190" s="119">
        <v>96</v>
      </c>
      <c r="H190" s="120">
        <f t="shared" si="16"/>
        <v>0.52380952380952372</v>
      </c>
      <c r="I190" s="119">
        <v>86</v>
      </c>
      <c r="J190" s="120">
        <f t="shared" si="16"/>
        <v>-0.10416666666666663</v>
      </c>
      <c r="K190" s="119">
        <v>117</v>
      </c>
      <c r="L190" s="120">
        <f t="shared" si="16"/>
        <v>0.36046511627906974</v>
      </c>
      <c r="M190" s="119">
        <v>111</v>
      </c>
      <c r="N190" s="120">
        <f>IFERROR(M190/K190-1,"-")</f>
        <v>-5.1282051282051322E-2</v>
      </c>
    </row>
    <row r="191" spans="1:15" x14ac:dyDescent="0.25">
      <c r="B191" s="118" t="s">
        <v>85</v>
      </c>
      <c r="C191" s="119">
        <v>0</v>
      </c>
      <c r="D191" s="120">
        <v>-1</v>
      </c>
      <c r="E191" s="119">
        <v>83</v>
      </c>
      <c r="F191" s="120" t="str">
        <f t="shared" si="16"/>
        <v>-</v>
      </c>
      <c r="G191" s="119">
        <v>109</v>
      </c>
      <c r="H191" s="120">
        <f t="shared" si="16"/>
        <v>0.31325301204819267</v>
      </c>
      <c r="I191" s="119">
        <v>135</v>
      </c>
      <c r="J191" s="120">
        <f t="shared" si="16"/>
        <v>0.23853211009174302</v>
      </c>
      <c r="K191" s="119">
        <v>123</v>
      </c>
      <c r="L191" s="120">
        <f t="shared" si="16"/>
        <v>-8.8888888888888906E-2</v>
      </c>
      <c r="M191" s="119"/>
      <c r="N191" s="120"/>
    </row>
    <row r="192" spans="1:15" x14ac:dyDescent="0.25">
      <c r="B192" s="118" t="s">
        <v>87</v>
      </c>
      <c r="C192" s="119">
        <v>49</v>
      </c>
      <c r="D192" s="120">
        <v>-0.38749999999999996</v>
      </c>
      <c r="E192" s="119">
        <v>103</v>
      </c>
      <c r="F192" s="120">
        <f t="shared" si="16"/>
        <v>1.1020408163265305</v>
      </c>
      <c r="G192" s="119">
        <v>180</v>
      </c>
      <c r="H192" s="120">
        <f t="shared" si="16"/>
        <v>0.74757281553398047</v>
      </c>
      <c r="I192" s="119">
        <v>119</v>
      </c>
      <c r="J192" s="120">
        <f t="shared" si="16"/>
        <v>-0.33888888888888891</v>
      </c>
      <c r="K192" s="119">
        <v>112</v>
      </c>
      <c r="L192" s="120">
        <f t="shared" si="16"/>
        <v>-5.8823529411764719E-2</v>
      </c>
      <c r="M192" s="119"/>
      <c r="N192" s="120"/>
    </row>
    <row r="193" spans="2:15" x14ac:dyDescent="0.25">
      <c r="B193" s="118" t="s">
        <v>89</v>
      </c>
      <c r="C193" s="119">
        <v>74</v>
      </c>
      <c r="D193" s="120">
        <v>-0.30841121495327106</v>
      </c>
      <c r="E193" s="119">
        <v>87</v>
      </c>
      <c r="F193" s="120">
        <f t="shared" si="16"/>
        <v>0.17567567567567566</v>
      </c>
      <c r="G193" s="119">
        <v>97</v>
      </c>
      <c r="H193" s="120">
        <f t="shared" si="16"/>
        <v>0.11494252873563227</v>
      </c>
      <c r="I193" s="119">
        <v>102</v>
      </c>
      <c r="J193" s="120">
        <f t="shared" si="16"/>
        <v>5.1546391752577359E-2</v>
      </c>
      <c r="K193" s="119">
        <v>143</v>
      </c>
      <c r="L193" s="120">
        <f t="shared" si="16"/>
        <v>0.40196078431372539</v>
      </c>
      <c r="M193" s="119"/>
      <c r="N193" s="120"/>
    </row>
    <row r="194" spans="2:15" x14ac:dyDescent="0.25">
      <c r="B194" s="118" t="s">
        <v>91</v>
      </c>
      <c r="C194" s="119">
        <v>47</v>
      </c>
      <c r="D194" s="120">
        <v>-0.53465346534653468</v>
      </c>
      <c r="E194" s="119">
        <v>177</v>
      </c>
      <c r="F194" s="120">
        <f t="shared" si="16"/>
        <v>2.7659574468085109</v>
      </c>
      <c r="G194" s="119">
        <v>110</v>
      </c>
      <c r="H194" s="120">
        <f t="shared" si="16"/>
        <v>-0.37853107344632764</v>
      </c>
      <c r="I194" s="119">
        <v>137</v>
      </c>
      <c r="J194" s="120">
        <f t="shared" si="16"/>
        <v>0.24545454545454537</v>
      </c>
      <c r="K194" s="119">
        <v>155</v>
      </c>
      <c r="L194" s="120">
        <f t="shared" si="16"/>
        <v>0.13138686131386867</v>
      </c>
      <c r="M194" s="119"/>
      <c r="N194" s="120"/>
    </row>
    <row r="195" spans="2:15" x14ac:dyDescent="0.25">
      <c r="B195" s="118" t="s">
        <v>93</v>
      </c>
      <c r="C195" s="119">
        <v>57</v>
      </c>
      <c r="D195" s="120">
        <v>-0.68852459016393441</v>
      </c>
      <c r="E195" s="119">
        <v>403</v>
      </c>
      <c r="F195" s="120">
        <f t="shared" si="16"/>
        <v>6.0701754385964914</v>
      </c>
      <c r="G195" s="119">
        <v>182</v>
      </c>
      <c r="H195" s="120">
        <f t="shared" si="16"/>
        <v>-0.54838709677419351</v>
      </c>
      <c r="I195" s="119">
        <v>273</v>
      </c>
      <c r="J195" s="120">
        <f t="shared" si="16"/>
        <v>0.5</v>
      </c>
      <c r="K195" s="119">
        <v>235</v>
      </c>
      <c r="L195" s="120">
        <f t="shared" si="16"/>
        <v>-0.13919413919413914</v>
      </c>
      <c r="M195" s="119"/>
      <c r="N195" s="120"/>
    </row>
    <row r="196" spans="2:15" x14ac:dyDescent="0.25">
      <c r="B196" s="118" t="s">
        <v>95</v>
      </c>
      <c r="C196" s="119">
        <v>74</v>
      </c>
      <c r="D196" s="120">
        <v>-0.55151515151515151</v>
      </c>
      <c r="E196" s="119">
        <v>199</v>
      </c>
      <c r="F196" s="120">
        <f t="shared" si="16"/>
        <v>1.689189189189189</v>
      </c>
      <c r="G196" s="119">
        <v>281</v>
      </c>
      <c r="H196" s="120">
        <f t="shared" si="16"/>
        <v>0.4120603015075377</v>
      </c>
      <c r="I196" s="119">
        <v>228</v>
      </c>
      <c r="J196" s="120">
        <f t="shared" si="16"/>
        <v>-0.18861209964412806</v>
      </c>
      <c r="K196" s="119">
        <v>310</v>
      </c>
      <c r="L196" s="120">
        <f t="shared" si="16"/>
        <v>0.35964912280701755</v>
      </c>
      <c r="M196" s="119"/>
      <c r="N196" s="120"/>
    </row>
    <row r="197" spans="2:15" ht="15.75" x14ac:dyDescent="0.25">
      <c r="B197" s="121" t="s">
        <v>32</v>
      </c>
      <c r="C197" s="122">
        <v>812</v>
      </c>
      <c r="D197" s="123">
        <v>-0.45283018867924529</v>
      </c>
      <c r="E197" s="122">
        <v>1357</v>
      </c>
      <c r="F197" s="123">
        <f t="shared" si="16"/>
        <v>0.67118226600985231</v>
      </c>
      <c r="G197" s="122">
        <v>1836</v>
      </c>
      <c r="H197" s="123">
        <f t="shared" si="16"/>
        <v>0.35298452468680908</v>
      </c>
      <c r="I197" s="122">
        <v>1934</v>
      </c>
      <c r="J197" s="123">
        <f t="shared" si="16"/>
        <v>5.3376906318082895E-2</v>
      </c>
      <c r="K197" s="122">
        <v>2091</v>
      </c>
      <c r="L197" s="123">
        <f t="shared" si="16"/>
        <v>8.1178903826266913E-2</v>
      </c>
      <c r="M197" s="122">
        <v>1127</v>
      </c>
      <c r="N197" s="123">
        <v>0.11253701875616984</v>
      </c>
    </row>
    <row r="198" spans="2:15" ht="6" customHeight="1" x14ac:dyDescent="0.25"/>
    <row r="199" spans="2:15" x14ac:dyDescent="0.25">
      <c r="B199" s="107" t="s">
        <v>57</v>
      </c>
      <c r="C199" s="107"/>
      <c r="D199" s="107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</row>
    <row r="200" spans="2:15" x14ac:dyDescent="0.25">
      <c r="K200" s="124"/>
    </row>
    <row r="201" spans="2:15" x14ac:dyDescent="0.25"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</row>
    <row r="202" spans="2:15" ht="48.75" customHeight="1" thickBot="1" x14ac:dyDescent="0.3">
      <c r="B202" s="278" t="s">
        <v>244</v>
      </c>
      <c r="C202" s="278"/>
      <c r="D202" s="278"/>
      <c r="E202" s="278"/>
      <c r="F202" s="278"/>
      <c r="G202" s="278"/>
      <c r="H202" s="278"/>
      <c r="I202" s="278"/>
      <c r="J202" s="278"/>
      <c r="K202" s="278"/>
      <c r="L202" s="278"/>
      <c r="M202" s="278"/>
      <c r="N202" s="278"/>
      <c r="O202" s="1" t="s">
        <v>123</v>
      </c>
    </row>
    <row r="203" spans="2:15" ht="10.5" customHeight="1" thickBot="1" x14ac:dyDescent="0.3">
      <c r="B203" s="108"/>
      <c r="C203" s="109"/>
      <c r="D203" s="108"/>
      <c r="E203" s="108"/>
      <c r="F203" s="108"/>
      <c r="G203" s="108"/>
      <c r="H203" s="108"/>
      <c r="I203" s="108"/>
      <c r="J203" s="108"/>
      <c r="K203" s="108"/>
      <c r="L203" s="108"/>
      <c r="M203" s="4"/>
      <c r="N203" s="4"/>
      <c r="O203" s="1" t="s">
        <v>124</v>
      </c>
    </row>
    <row r="204" spans="2:15" ht="22.5" thickTop="1" thickBot="1" x14ac:dyDescent="0.3">
      <c r="B204" s="125" t="str">
        <f>C204</f>
        <v>Países Bajos</v>
      </c>
      <c r="C204" s="303" t="s">
        <v>125</v>
      </c>
      <c r="D204" s="304"/>
      <c r="E204" s="304"/>
      <c r="F204" s="304"/>
      <c r="G204" s="304"/>
      <c r="H204" s="304"/>
      <c r="I204" s="304"/>
      <c r="J204" s="304"/>
      <c r="K204" s="304"/>
      <c r="L204" s="304"/>
      <c r="M204" s="304"/>
      <c r="N204" s="304"/>
    </row>
    <row r="205" spans="2:15" ht="22.5" thickTop="1" thickBot="1" x14ac:dyDescent="0.3">
      <c r="B205" s="111"/>
      <c r="C205" s="305">
        <f>C$7</f>
        <v>2020</v>
      </c>
      <c r="D205" s="306"/>
      <c r="E205" s="305">
        <f>E$7</f>
        <v>2021</v>
      </c>
      <c r="F205" s="306"/>
      <c r="G205" s="305">
        <f>G$7</f>
        <v>2022</v>
      </c>
      <c r="H205" s="306"/>
      <c r="I205" s="305">
        <f>I$7</f>
        <v>2023</v>
      </c>
      <c r="J205" s="306"/>
      <c r="K205" s="305">
        <f>K$7</f>
        <v>2024</v>
      </c>
      <c r="L205" s="306"/>
      <c r="M205" s="305">
        <f>M$7</f>
        <v>2025</v>
      </c>
      <c r="N205" s="306"/>
    </row>
    <row r="206" spans="2:15" ht="16.5" thickTop="1" thickBot="1" x14ac:dyDescent="0.3">
      <c r="B206" s="87"/>
      <c r="C206" s="115" t="s">
        <v>71</v>
      </c>
      <c r="D206" s="116" t="str">
        <f>CONCATENATE("var ",RIGHT(C205,2),"/",RIGHT(C205-1,2))</f>
        <v>var 20/19</v>
      </c>
      <c r="E206" s="117" t="s">
        <v>71</v>
      </c>
      <c r="F206" s="116" t="str">
        <f>CONCATENATE("var ",RIGHT(E205,2),"/",RIGHT(E205-1,2))</f>
        <v>var 21/20</v>
      </c>
      <c r="G206" s="117" t="s">
        <v>71</v>
      </c>
      <c r="H206" s="116" t="str">
        <f>CONCATENATE("var ",RIGHT(G205,2),"/",RIGHT(G205-1,2))</f>
        <v>var 22/21</v>
      </c>
      <c r="I206" s="117" t="s">
        <v>71</v>
      </c>
      <c r="J206" s="116" t="str">
        <f>CONCATENATE("var ",RIGHT(I205,2),"/",RIGHT(I205-1,2))</f>
        <v>var 23/22</v>
      </c>
      <c r="K206" s="117" t="s">
        <v>71</v>
      </c>
      <c r="L206" s="116" t="str">
        <f>CONCATENATE("var ",RIGHT(K205,2),"/",RIGHT(K205-1,2))</f>
        <v>var 24/23</v>
      </c>
      <c r="M206" s="117" t="s">
        <v>71</v>
      </c>
      <c r="N206" s="116" t="str">
        <f>CONCATENATE("var ",RIGHT(M205,2),"/",RIGHT(M205-1,2))</f>
        <v>var 25/24</v>
      </c>
    </row>
    <row r="207" spans="2:15" x14ac:dyDescent="0.25">
      <c r="B207" s="118" t="s">
        <v>73</v>
      </c>
      <c r="C207" s="119">
        <v>231</v>
      </c>
      <c r="D207" s="120">
        <v>-0.10465116279069764</v>
      </c>
      <c r="E207" s="119">
        <v>38</v>
      </c>
      <c r="F207" s="120">
        <f t="shared" ref="F207:L219" si="18">IFERROR(E207/C207-1,"-")</f>
        <v>-0.83549783549783552</v>
      </c>
      <c r="G207" s="119">
        <v>270</v>
      </c>
      <c r="H207" s="120">
        <f t="shared" si="18"/>
        <v>6.1052631578947372</v>
      </c>
      <c r="I207" s="119">
        <v>297</v>
      </c>
      <c r="J207" s="120">
        <f t="shared" si="18"/>
        <v>0.10000000000000009</v>
      </c>
      <c r="K207" s="119">
        <v>273</v>
      </c>
      <c r="L207" s="120">
        <f t="shared" si="18"/>
        <v>-8.0808080808080773E-2</v>
      </c>
      <c r="M207" s="119">
        <v>376</v>
      </c>
      <c r="N207" s="120">
        <f t="shared" ref="N207:N212" si="19">IFERROR(M207/K207-1,"-")</f>
        <v>0.37728937728937728</v>
      </c>
    </row>
    <row r="208" spans="2:15" x14ac:dyDescent="0.25">
      <c r="B208" s="118" t="s">
        <v>75</v>
      </c>
      <c r="C208" s="119">
        <v>215</v>
      </c>
      <c r="D208" s="120">
        <v>0.31901840490797539</v>
      </c>
      <c r="E208" s="119">
        <v>44</v>
      </c>
      <c r="F208" s="120">
        <f t="shared" si="18"/>
        <v>-0.79534883720930227</v>
      </c>
      <c r="G208" s="119">
        <v>270</v>
      </c>
      <c r="H208" s="120">
        <f t="shared" si="18"/>
        <v>5.1363636363636367</v>
      </c>
      <c r="I208" s="119">
        <v>263</v>
      </c>
      <c r="J208" s="120">
        <f t="shared" si="18"/>
        <v>-2.5925925925925908E-2</v>
      </c>
      <c r="K208" s="119">
        <v>326</v>
      </c>
      <c r="L208" s="120">
        <f t="shared" si="18"/>
        <v>0.23954372623574138</v>
      </c>
      <c r="M208" s="119">
        <v>304</v>
      </c>
      <c r="N208" s="120">
        <f t="shared" si="19"/>
        <v>-6.7484662576687171E-2</v>
      </c>
    </row>
    <row r="209" spans="2:15" x14ac:dyDescent="0.25">
      <c r="B209" s="118" t="s">
        <v>77</v>
      </c>
      <c r="C209" s="119">
        <v>81</v>
      </c>
      <c r="D209" s="120">
        <v>-0.61244019138755978</v>
      </c>
      <c r="E209" s="119">
        <v>46</v>
      </c>
      <c r="F209" s="120">
        <f t="shared" si="18"/>
        <v>-0.4320987654320988</v>
      </c>
      <c r="G209" s="119">
        <v>212</v>
      </c>
      <c r="H209" s="120">
        <f t="shared" si="18"/>
        <v>3.6086956521739131</v>
      </c>
      <c r="I209" s="119">
        <v>247</v>
      </c>
      <c r="J209" s="120">
        <f t="shared" si="18"/>
        <v>0.16509433962264142</v>
      </c>
      <c r="K209" s="119">
        <v>210</v>
      </c>
      <c r="L209" s="120">
        <f t="shared" si="18"/>
        <v>-0.1497975708502024</v>
      </c>
      <c r="M209" s="119">
        <v>251</v>
      </c>
      <c r="N209" s="120">
        <f t="shared" si="19"/>
        <v>0.19523809523809521</v>
      </c>
    </row>
    <row r="210" spans="2:15" x14ac:dyDescent="0.25">
      <c r="B210" s="118" t="s">
        <v>79</v>
      </c>
      <c r="C210" s="119">
        <v>0</v>
      </c>
      <c r="D210" s="120">
        <v>-1</v>
      </c>
      <c r="E210" s="119">
        <v>49</v>
      </c>
      <c r="F210" s="120" t="str">
        <f t="shared" si="18"/>
        <v>-</v>
      </c>
      <c r="G210" s="119">
        <v>157</v>
      </c>
      <c r="H210" s="120">
        <f t="shared" si="18"/>
        <v>2.204081632653061</v>
      </c>
      <c r="I210" s="119">
        <v>160</v>
      </c>
      <c r="J210" s="120">
        <f t="shared" si="18"/>
        <v>1.9108280254777066E-2</v>
      </c>
      <c r="K210" s="119">
        <v>191</v>
      </c>
      <c r="L210" s="120">
        <f t="shared" si="18"/>
        <v>0.19375000000000009</v>
      </c>
      <c r="M210" s="119">
        <v>133</v>
      </c>
      <c r="N210" s="120">
        <f t="shared" si="19"/>
        <v>-0.30366492146596857</v>
      </c>
    </row>
    <row r="211" spans="2:15" x14ac:dyDescent="0.25">
      <c r="B211" s="118" t="s">
        <v>81</v>
      </c>
      <c r="C211" s="119">
        <v>0</v>
      </c>
      <c r="D211" s="120">
        <v>-1</v>
      </c>
      <c r="E211" s="119">
        <v>58</v>
      </c>
      <c r="F211" s="120" t="str">
        <f t="shared" si="18"/>
        <v>-</v>
      </c>
      <c r="G211" s="119">
        <v>143</v>
      </c>
      <c r="H211" s="120">
        <f t="shared" si="18"/>
        <v>1.4655172413793105</v>
      </c>
      <c r="I211" s="119">
        <v>160</v>
      </c>
      <c r="J211" s="120">
        <f t="shared" si="18"/>
        <v>0.11888111888111896</v>
      </c>
      <c r="K211" s="119">
        <v>146</v>
      </c>
      <c r="L211" s="120">
        <f t="shared" si="18"/>
        <v>-8.7500000000000022E-2</v>
      </c>
      <c r="M211" s="119">
        <v>131</v>
      </c>
      <c r="N211" s="120">
        <f t="shared" si="19"/>
        <v>-0.10273972602739723</v>
      </c>
    </row>
    <row r="212" spans="2:15" x14ac:dyDescent="0.25">
      <c r="B212" s="118" t="s">
        <v>83</v>
      </c>
      <c r="C212" s="119">
        <v>0</v>
      </c>
      <c r="D212" s="120">
        <v>-1</v>
      </c>
      <c r="E212" s="119">
        <v>76</v>
      </c>
      <c r="F212" s="120" t="str">
        <f t="shared" si="18"/>
        <v>-</v>
      </c>
      <c r="G212" s="119">
        <v>125</v>
      </c>
      <c r="H212" s="120">
        <f t="shared" si="18"/>
        <v>0.64473684210526305</v>
      </c>
      <c r="I212" s="119">
        <v>86</v>
      </c>
      <c r="J212" s="120">
        <f t="shared" si="18"/>
        <v>-0.31200000000000006</v>
      </c>
      <c r="K212" s="119">
        <v>103</v>
      </c>
      <c r="L212" s="120">
        <f t="shared" si="18"/>
        <v>0.19767441860465107</v>
      </c>
      <c r="M212" s="119">
        <v>103</v>
      </c>
      <c r="N212" s="120">
        <f t="shared" si="19"/>
        <v>0</v>
      </c>
    </row>
    <row r="213" spans="2:15" x14ac:dyDescent="0.25">
      <c r="B213" s="118" t="s">
        <v>85</v>
      </c>
      <c r="C213" s="119">
        <v>0</v>
      </c>
      <c r="D213" s="120">
        <v>-1</v>
      </c>
      <c r="E213" s="119">
        <v>133</v>
      </c>
      <c r="F213" s="120" t="str">
        <f t="shared" si="18"/>
        <v>-</v>
      </c>
      <c r="G213" s="119">
        <v>98</v>
      </c>
      <c r="H213" s="120">
        <f t="shared" si="18"/>
        <v>-0.26315789473684215</v>
      </c>
      <c r="I213" s="119">
        <v>303</v>
      </c>
      <c r="J213" s="120">
        <f t="shared" si="18"/>
        <v>2.0918367346938775</v>
      </c>
      <c r="K213" s="119">
        <v>146</v>
      </c>
      <c r="L213" s="120">
        <f t="shared" si="18"/>
        <v>-0.51815181518151809</v>
      </c>
      <c r="M213" s="119"/>
      <c r="N213" s="120"/>
    </row>
    <row r="214" spans="2:15" x14ac:dyDescent="0.25">
      <c r="B214" s="118" t="s">
        <v>87</v>
      </c>
      <c r="C214" s="119">
        <v>48</v>
      </c>
      <c r="D214" s="120">
        <v>-0.54716981132075471</v>
      </c>
      <c r="E214" s="119">
        <v>100</v>
      </c>
      <c r="F214" s="120">
        <f t="shared" si="18"/>
        <v>1.0833333333333335</v>
      </c>
      <c r="G214" s="119">
        <v>369</v>
      </c>
      <c r="H214" s="120">
        <f t="shared" si="18"/>
        <v>2.69</v>
      </c>
      <c r="I214" s="119">
        <v>234</v>
      </c>
      <c r="J214" s="120">
        <f t="shared" si="18"/>
        <v>-0.36585365853658536</v>
      </c>
      <c r="K214" s="119">
        <v>193</v>
      </c>
      <c r="L214" s="120">
        <f t="shared" si="18"/>
        <v>-0.17521367521367526</v>
      </c>
      <c r="M214" s="119"/>
      <c r="N214" s="120"/>
    </row>
    <row r="215" spans="2:15" x14ac:dyDescent="0.25">
      <c r="B215" s="118" t="s">
        <v>89</v>
      </c>
      <c r="C215" s="119">
        <v>19</v>
      </c>
      <c r="D215" s="120">
        <v>-0.83898305084745761</v>
      </c>
      <c r="E215" s="119">
        <v>122</v>
      </c>
      <c r="F215" s="120">
        <f t="shared" si="18"/>
        <v>5.4210526315789478</v>
      </c>
      <c r="G215" s="119">
        <v>209</v>
      </c>
      <c r="H215" s="120">
        <f t="shared" si="18"/>
        <v>0.71311475409836067</v>
      </c>
      <c r="I215" s="119">
        <v>146</v>
      </c>
      <c r="J215" s="120">
        <f t="shared" si="18"/>
        <v>-0.30143540669856461</v>
      </c>
      <c r="K215" s="119">
        <v>101</v>
      </c>
      <c r="L215" s="120">
        <f t="shared" si="18"/>
        <v>-0.30821917808219179</v>
      </c>
      <c r="M215" s="119"/>
      <c r="N215" s="120"/>
    </row>
    <row r="216" spans="2:15" x14ac:dyDescent="0.25">
      <c r="B216" s="118" t="s">
        <v>91</v>
      </c>
      <c r="C216" s="119">
        <v>30</v>
      </c>
      <c r="D216" s="120">
        <v>-0.71962616822429903</v>
      </c>
      <c r="E216" s="119">
        <v>167</v>
      </c>
      <c r="F216" s="120">
        <f t="shared" si="18"/>
        <v>4.5666666666666664</v>
      </c>
      <c r="G216" s="119">
        <v>124</v>
      </c>
      <c r="H216" s="120">
        <f t="shared" si="18"/>
        <v>-0.25748502994011979</v>
      </c>
      <c r="I216" s="119">
        <v>156</v>
      </c>
      <c r="J216" s="120">
        <f t="shared" si="18"/>
        <v>0.25806451612903225</v>
      </c>
      <c r="K216" s="119">
        <v>124</v>
      </c>
      <c r="L216" s="120">
        <f t="shared" si="18"/>
        <v>-0.20512820512820518</v>
      </c>
      <c r="M216" s="119"/>
      <c r="N216" s="120"/>
    </row>
    <row r="217" spans="2:15" x14ac:dyDescent="0.25">
      <c r="B217" s="118" t="s">
        <v>93</v>
      </c>
      <c r="C217" s="119">
        <v>48</v>
      </c>
      <c r="D217" s="120">
        <v>-0.68421052631578949</v>
      </c>
      <c r="E217" s="119">
        <v>242</v>
      </c>
      <c r="F217" s="120">
        <f t="shared" si="18"/>
        <v>4.041666666666667</v>
      </c>
      <c r="G217" s="119">
        <v>302</v>
      </c>
      <c r="H217" s="120">
        <f t="shared" si="18"/>
        <v>0.24793388429752072</v>
      </c>
      <c r="I217" s="119">
        <v>294</v>
      </c>
      <c r="J217" s="120">
        <f t="shared" si="18"/>
        <v>-2.6490066225165587E-2</v>
      </c>
      <c r="K217" s="119">
        <v>296</v>
      </c>
      <c r="L217" s="120">
        <f t="shared" si="18"/>
        <v>6.8027210884353817E-3</v>
      </c>
      <c r="M217" s="119"/>
      <c r="N217" s="120"/>
    </row>
    <row r="218" spans="2:15" x14ac:dyDescent="0.25">
      <c r="B218" s="118" t="s">
        <v>95</v>
      </c>
      <c r="C218" s="119">
        <v>43</v>
      </c>
      <c r="D218" s="120">
        <v>-0.88917525773195871</v>
      </c>
      <c r="E218" s="119">
        <v>258</v>
      </c>
      <c r="F218" s="120">
        <f t="shared" si="18"/>
        <v>5</v>
      </c>
      <c r="G218" s="119">
        <v>294</v>
      </c>
      <c r="H218" s="120">
        <f t="shared" si="18"/>
        <v>0.13953488372093026</v>
      </c>
      <c r="I218" s="119">
        <v>291</v>
      </c>
      <c r="J218" s="120">
        <f t="shared" si="18"/>
        <v>-1.0204081632653073E-2</v>
      </c>
      <c r="K218" s="119">
        <v>247</v>
      </c>
      <c r="L218" s="120">
        <f t="shared" si="18"/>
        <v>-0.15120274914089349</v>
      </c>
      <c r="M218" s="119"/>
      <c r="N218" s="120"/>
    </row>
    <row r="219" spans="2:15" ht="15.75" x14ac:dyDescent="0.25">
      <c r="B219" s="121" t="s">
        <v>32</v>
      </c>
      <c r="C219" s="122">
        <v>784</v>
      </c>
      <c r="D219" s="123">
        <v>-0.57984994640943199</v>
      </c>
      <c r="E219" s="122">
        <v>1333</v>
      </c>
      <c r="F219" s="123">
        <f t="shared" si="18"/>
        <v>0.70025510204081631</v>
      </c>
      <c r="G219" s="122">
        <v>2573</v>
      </c>
      <c r="H219" s="123">
        <f t="shared" si="18"/>
        <v>0.93023255813953498</v>
      </c>
      <c r="I219" s="122">
        <v>2637</v>
      </c>
      <c r="J219" s="123">
        <f t="shared" si="18"/>
        <v>2.4873688301593422E-2</v>
      </c>
      <c r="K219" s="122">
        <v>2356</v>
      </c>
      <c r="L219" s="123">
        <f t="shared" si="18"/>
        <v>-0.10656048540007579</v>
      </c>
      <c r="M219" s="122">
        <v>1298</v>
      </c>
      <c r="N219" s="123">
        <v>3.9231385108086547E-2</v>
      </c>
    </row>
    <row r="220" spans="2:15" ht="6" customHeight="1" x14ac:dyDescent="0.25"/>
    <row r="221" spans="2:15" x14ac:dyDescent="0.25">
      <c r="B221" s="107" t="s">
        <v>57</v>
      </c>
      <c r="C221" s="107"/>
      <c r="D221" s="107"/>
      <c r="E221" s="107"/>
      <c r="F221" s="107"/>
      <c r="G221" s="107"/>
      <c r="H221" s="107"/>
      <c r="I221" s="107"/>
      <c r="J221" s="107"/>
      <c r="K221" s="107"/>
      <c r="L221" s="107"/>
      <c r="M221" s="107"/>
      <c r="N221" s="107"/>
    </row>
    <row r="222" spans="2:15" x14ac:dyDescent="0.25">
      <c r="K222" s="124"/>
      <c r="M222" s="126"/>
    </row>
    <row r="224" spans="2:15" ht="48.75" customHeight="1" thickBot="1" x14ac:dyDescent="0.3">
      <c r="B224" s="278" t="s">
        <v>243</v>
      </c>
      <c r="C224" s="278"/>
      <c r="D224" s="278"/>
      <c r="E224" s="278"/>
      <c r="F224" s="278"/>
      <c r="G224" s="278"/>
      <c r="H224" s="278"/>
      <c r="I224" s="278"/>
      <c r="J224" s="278"/>
      <c r="K224" s="278"/>
      <c r="L224" s="278"/>
      <c r="M224" s="278"/>
      <c r="N224" s="278"/>
      <c r="O224" s="1" t="s">
        <v>126</v>
      </c>
    </row>
    <row r="225" spans="2:15" ht="10.5" customHeight="1" thickBot="1" x14ac:dyDescent="0.3">
      <c r="B225" s="108"/>
      <c r="C225" s="109"/>
      <c r="D225" s="108"/>
      <c r="E225" s="108"/>
      <c r="F225" s="108"/>
      <c r="G225" s="108"/>
      <c r="H225" s="108"/>
      <c r="I225" s="108"/>
      <c r="J225" s="108"/>
      <c r="K225" s="108"/>
      <c r="L225" s="108"/>
      <c r="M225" s="4"/>
      <c r="N225" s="4"/>
      <c r="O225" s="1" t="s">
        <v>127</v>
      </c>
    </row>
    <row r="226" spans="2:15" ht="22.5" thickTop="1" thickBot="1" x14ac:dyDescent="0.3">
      <c r="B226" s="125" t="str">
        <f>C226</f>
        <v>Bélgica</v>
      </c>
      <c r="C226" s="303" t="s">
        <v>121</v>
      </c>
      <c r="D226" s="304"/>
      <c r="E226" s="304"/>
      <c r="F226" s="304"/>
      <c r="G226" s="304"/>
      <c r="H226" s="304"/>
      <c r="I226" s="304"/>
      <c r="J226" s="304"/>
      <c r="K226" s="304"/>
      <c r="L226" s="304"/>
      <c r="M226" s="304"/>
      <c r="N226" s="304"/>
    </row>
    <row r="227" spans="2:15" ht="22.5" thickTop="1" thickBot="1" x14ac:dyDescent="0.3">
      <c r="B227" s="111"/>
      <c r="C227" s="305">
        <f>C$7</f>
        <v>2020</v>
      </c>
      <c r="D227" s="306"/>
      <c r="E227" s="305">
        <f>E$7</f>
        <v>2021</v>
      </c>
      <c r="F227" s="306"/>
      <c r="G227" s="305">
        <f>G$7</f>
        <v>2022</v>
      </c>
      <c r="H227" s="306"/>
      <c r="I227" s="305">
        <f>I$7</f>
        <v>2023</v>
      </c>
      <c r="J227" s="306"/>
      <c r="K227" s="305">
        <f>K$7</f>
        <v>2024</v>
      </c>
      <c r="L227" s="306"/>
      <c r="M227" s="305">
        <f>M$7</f>
        <v>2025</v>
      </c>
      <c r="N227" s="306"/>
    </row>
    <row r="228" spans="2:15" ht="16.5" thickTop="1" thickBot="1" x14ac:dyDescent="0.3">
      <c r="B228" s="87"/>
      <c r="C228" s="115" t="s">
        <v>71</v>
      </c>
      <c r="D228" s="116" t="str">
        <f>CONCATENATE("var ",RIGHT(C227,2),"/",RIGHT(C227-1,2))</f>
        <v>var 20/19</v>
      </c>
      <c r="E228" s="117" t="s">
        <v>71</v>
      </c>
      <c r="F228" s="116" t="str">
        <f>CONCATENATE("var ",RIGHT(E227,2),"/",RIGHT(E227-1,2))</f>
        <v>var 21/20</v>
      </c>
      <c r="G228" s="117" t="s">
        <v>71</v>
      </c>
      <c r="H228" s="116" t="str">
        <f>CONCATENATE("var ",RIGHT(G227,2),"/",RIGHT(G227-1,2))</f>
        <v>var 22/21</v>
      </c>
      <c r="I228" s="117" t="s">
        <v>71</v>
      </c>
      <c r="J228" s="116" t="str">
        <f>CONCATENATE("var ",RIGHT(I227,2),"/",RIGHT(I227-1,2))</f>
        <v>var 23/22</v>
      </c>
      <c r="K228" s="117" t="s">
        <v>71</v>
      </c>
      <c r="L228" s="116" t="str">
        <f>CONCATENATE("var ",RIGHT(K227,2),"/",RIGHT(K227-1,2))</f>
        <v>var 24/23</v>
      </c>
      <c r="M228" s="117" t="s">
        <v>71</v>
      </c>
      <c r="N228" s="116" t="str">
        <f>CONCATENATE("var ",RIGHT(M227,2),"/",RIGHT(M227-1,2))</f>
        <v>var 25/24</v>
      </c>
    </row>
    <row r="229" spans="2:15" x14ac:dyDescent="0.25">
      <c r="B229" s="118" t="s">
        <v>73</v>
      </c>
      <c r="C229" s="119">
        <v>222</v>
      </c>
      <c r="D229" s="120">
        <v>0.53103448275862064</v>
      </c>
      <c r="E229" s="119">
        <v>43</v>
      </c>
      <c r="F229" s="120">
        <f t="shared" ref="F229:L241" si="20">IFERROR(E229/C229-1,"-")</f>
        <v>-0.80630630630630629</v>
      </c>
      <c r="G229" s="119">
        <v>170</v>
      </c>
      <c r="H229" s="120">
        <f t="shared" si="20"/>
        <v>2.9534883720930232</v>
      </c>
      <c r="I229" s="119">
        <v>239</v>
      </c>
      <c r="J229" s="120">
        <f t="shared" si="20"/>
        <v>0.40588235294117636</v>
      </c>
      <c r="K229" s="119">
        <v>277</v>
      </c>
      <c r="L229" s="120">
        <f t="shared" si="20"/>
        <v>0.15899581589958167</v>
      </c>
      <c r="M229" s="119">
        <v>323</v>
      </c>
      <c r="N229" s="120">
        <f t="shared" ref="N229:N234" si="21">IFERROR(M229/K229-1,"-")</f>
        <v>0.1660649819494584</v>
      </c>
    </row>
    <row r="230" spans="2:15" x14ac:dyDescent="0.25">
      <c r="B230" s="118" t="s">
        <v>75</v>
      </c>
      <c r="C230" s="119">
        <v>148</v>
      </c>
      <c r="D230" s="120">
        <v>7.2463768115942129E-2</v>
      </c>
      <c r="E230" s="119">
        <v>37</v>
      </c>
      <c r="F230" s="120">
        <f t="shared" si="20"/>
        <v>-0.75</v>
      </c>
      <c r="G230" s="119">
        <v>179</v>
      </c>
      <c r="H230" s="120">
        <f t="shared" si="20"/>
        <v>3.8378378378378377</v>
      </c>
      <c r="I230" s="119">
        <v>200</v>
      </c>
      <c r="J230" s="120">
        <f t="shared" si="20"/>
        <v>0.11731843575418988</v>
      </c>
      <c r="K230" s="119">
        <v>198</v>
      </c>
      <c r="L230" s="120">
        <f t="shared" si="20"/>
        <v>-1.0000000000000009E-2</v>
      </c>
      <c r="M230" s="119">
        <v>222</v>
      </c>
      <c r="N230" s="120">
        <f t="shared" si="21"/>
        <v>0.1212121212121211</v>
      </c>
    </row>
    <row r="231" spans="2:15" x14ac:dyDescent="0.25">
      <c r="B231" s="118" t="s">
        <v>77</v>
      </c>
      <c r="C231" s="119">
        <v>85</v>
      </c>
      <c r="D231" s="120">
        <v>-0.38405797101449279</v>
      </c>
      <c r="E231" s="119">
        <v>32</v>
      </c>
      <c r="F231" s="120">
        <f t="shared" si="20"/>
        <v>-0.62352941176470589</v>
      </c>
      <c r="G231" s="119">
        <v>197</v>
      </c>
      <c r="H231" s="120">
        <f t="shared" si="20"/>
        <v>5.15625</v>
      </c>
      <c r="I231" s="119">
        <v>206</v>
      </c>
      <c r="J231" s="120">
        <f t="shared" si="20"/>
        <v>4.5685279187817285E-2</v>
      </c>
      <c r="K231" s="119">
        <v>181</v>
      </c>
      <c r="L231" s="120">
        <f t="shared" si="20"/>
        <v>-0.12135922330097082</v>
      </c>
      <c r="M231" s="119">
        <v>183</v>
      </c>
      <c r="N231" s="120">
        <f t="shared" si="21"/>
        <v>1.1049723756906049E-2</v>
      </c>
    </row>
    <row r="232" spans="2:15" x14ac:dyDescent="0.25">
      <c r="B232" s="118" t="s">
        <v>79</v>
      </c>
      <c r="C232" s="119">
        <v>0</v>
      </c>
      <c r="D232" s="120">
        <v>-1</v>
      </c>
      <c r="E232" s="119">
        <v>31</v>
      </c>
      <c r="F232" s="120" t="str">
        <f t="shared" si="20"/>
        <v>-</v>
      </c>
      <c r="G232" s="119">
        <v>118</v>
      </c>
      <c r="H232" s="120">
        <f t="shared" si="20"/>
        <v>2.806451612903226</v>
      </c>
      <c r="I232" s="119">
        <v>119</v>
      </c>
      <c r="J232" s="120">
        <f t="shared" si="20"/>
        <v>8.4745762711864181E-3</v>
      </c>
      <c r="K232" s="119">
        <v>107</v>
      </c>
      <c r="L232" s="120">
        <f t="shared" si="20"/>
        <v>-0.10084033613445376</v>
      </c>
      <c r="M232" s="119">
        <v>135</v>
      </c>
      <c r="N232" s="120">
        <f t="shared" si="21"/>
        <v>0.26168224299065423</v>
      </c>
    </row>
    <row r="233" spans="2:15" x14ac:dyDescent="0.25">
      <c r="B233" s="118" t="s">
        <v>81</v>
      </c>
      <c r="C233" s="119">
        <v>0</v>
      </c>
      <c r="D233" s="120">
        <v>-1</v>
      </c>
      <c r="E233" s="119">
        <v>99</v>
      </c>
      <c r="F233" s="120" t="str">
        <f t="shared" si="20"/>
        <v>-</v>
      </c>
      <c r="G233" s="119">
        <v>117</v>
      </c>
      <c r="H233" s="120">
        <f t="shared" si="20"/>
        <v>0.18181818181818188</v>
      </c>
      <c r="I233" s="119">
        <v>90</v>
      </c>
      <c r="J233" s="120">
        <f t="shared" si="20"/>
        <v>-0.23076923076923073</v>
      </c>
      <c r="K233" s="119">
        <v>133</v>
      </c>
      <c r="L233" s="120">
        <f t="shared" si="20"/>
        <v>0.47777777777777786</v>
      </c>
      <c r="M233" s="119">
        <v>153</v>
      </c>
      <c r="N233" s="120">
        <f t="shared" si="21"/>
        <v>0.15037593984962405</v>
      </c>
    </row>
    <row r="234" spans="2:15" x14ac:dyDescent="0.25">
      <c r="B234" s="118" t="s">
        <v>83</v>
      </c>
      <c r="C234" s="119">
        <v>0</v>
      </c>
      <c r="D234" s="120">
        <v>-1</v>
      </c>
      <c r="E234" s="119">
        <v>63</v>
      </c>
      <c r="F234" s="120" t="str">
        <f t="shared" si="20"/>
        <v>-</v>
      </c>
      <c r="G234" s="119">
        <v>96</v>
      </c>
      <c r="H234" s="120">
        <f t="shared" si="20"/>
        <v>0.52380952380952372</v>
      </c>
      <c r="I234" s="119">
        <v>86</v>
      </c>
      <c r="J234" s="120">
        <f t="shared" si="20"/>
        <v>-0.10416666666666663</v>
      </c>
      <c r="K234" s="119">
        <v>117</v>
      </c>
      <c r="L234" s="120">
        <f t="shared" si="20"/>
        <v>0.36046511627906974</v>
      </c>
      <c r="M234" s="119">
        <v>111</v>
      </c>
      <c r="N234" s="120">
        <f t="shared" si="21"/>
        <v>-5.1282051282051322E-2</v>
      </c>
    </row>
    <row r="235" spans="2:15" x14ac:dyDescent="0.25">
      <c r="B235" s="118" t="s">
        <v>85</v>
      </c>
      <c r="C235" s="119">
        <v>0</v>
      </c>
      <c r="D235" s="120">
        <v>-1</v>
      </c>
      <c r="E235" s="119">
        <v>83</v>
      </c>
      <c r="F235" s="120" t="str">
        <f t="shared" si="20"/>
        <v>-</v>
      </c>
      <c r="G235" s="119">
        <v>109</v>
      </c>
      <c r="H235" s="120">
        <f t="shared" si="20"/>
        <v>0.31325301204819267</v>
      </c>
      <c r="I235" s="119">
        <v>135</v>
      </c>
      <c r="J235" s="120">
        <f t="shared" si="20"/>
        <v>0.23853211009174302</v>
      </c>
      <c r="K235" s="119">
        <v>123</v>
      </c>
      <c r="L235" s="120">
        <f t="shared" si="20"/>
        <v>-8.8888888888888906E-2</v>
      </c>
      <c r="M235" s="119"/>
      <c r="N235" s="120"/>
    </row>
    <row r="236" spans="2:15" x14ac:dyDescent="0.25">
      <c r="B236" s="118" t="s">
        <v>87</v>
      </c>
      <c r="C236" s="119">
        <v>49</v>
      </c>
      <c r="D236" s="120">
        <v>-0.38749999999999996</v>
      </c>
      <c r="E236" s="119">
        <v>103</v>
      </c>
      <c r="F236" s="120">
        <f t="shared" si="20"/>
        <v>1.1020408163265305</v>
      </c>
      <c r="G236" s="119">
        <v>180</v>
      </c>
      <c r="H236" s="120">
        <f t="shared" si="20"/>
        <v>0.74757281553398047</v>
      </c>
      <c r="I236" s="119">
        <v>119</v>
      </c>
      <c r="J236" s="120">
        <f t="shared" si="20"/>
        <v>-0.33888888888888891</v>
      </c>
      <c r="K236" s="119">
        <v>112</v>
      </c>
      <c r="L236" s="120">
        <f t="shared" si="20"/>
        <v>-5.8823529411764719E-2</v>
      </c>
      <c r="M236" s="119"/>
      <c r="N236" s="120"/>
    </row>
    <row r="237" spans="2:15" x14ac:dyDescent="0.25">
      <c r="B237" s="118" t="s">
        <v>89</v>
      </c>
      <c r="C237" s="119">
        <v>74</v>
      </c>
      <c r="D237" s="120">
        <v>-0.30841121495327106</v>
      </c>
      <c r="E237" s="119">
        <v>87</v>
      </c>
      <c r="F237" s="120">
        <f t="shared" si="20"/>
        <v>0.17567567567567566</v>
      </c>
      <c r="G237" s="119">
        <v>97</v>
      </c>
      <c r="H237" s="120">
        <f t="shared" si="20"/>
        <v>0.11494252873563227</v>
      </c>
      <c r="I237" s="119">
        <v>102</v>
      </c>
      <c r="J237" s="120">
        <f t="shared" si="20"/>
        <v>5.1546391752577359E-2</v>
      </c>
      <c r="K237" s="119">
        <v>143</v>
      </c>
      <c r="L237" s="120">
        <f t="shared" si="20"/>
        <v>0.40196078431372539</v>
      </c>
      <c r="M237" s="119"/>
      <c r="N237" s="120"/>
    </row>
    <row r="238" spans="2:15" x14ac:dyDescent="0.25">
      <c r="B238" s="118" t="s">
        <v>91</v>
      </c>
      <c r="C238" s="119">
        <v>47</v>
      </c>
      <c r="D238" s="120">
        <v>-0.53465346534653468</v>
      </c>
      <c r="E238" s="119">
        <v>177</v>
      </c>
      <c r="F238" s="120">
        <f t="shared" si="20"/>
        <v>2.7659574468085109</v>
      </c>
      <c r="G238" s="119">
        <v>110</v>
      </c>
      <c r="H238" s="120">
        <f t="shared" si="20"/>
        <v>-0.37853107344632764</v>
      </c>
      <c r="I238" s="119">
        <v>137</v>
      </c>
      <c r="J238" s="120">
        <f t="shared" si="20"/>
        <v>0.24545454545454537</v>
      </c>
      <c r="K238" s="119">
        <v>155</v>
      </c>
      <c r="L238" s="120">
        <f t="shared" si="20"/>
        <v>0.13138686131386867</v>
      </c>
      <c r="M238" s="119"/>
      <c r="N238" s="120"/>
    </row>
    <row r="239" spans="2:15" x14ac:dyDescent="0.25">
      <c r="B239" s="118" t="s">
        <v>93</v>
      </c>
      <c r="C239" s="119">
        <v>57</v>
      </c>
      <c r="D239" s="120">
        <v>-0.68852459016393441</v>
      </c>
      <c r="E239" s="119">
        <v>403</v>
      </c>
      <c r="F239" s="120">
        <f t="shared" si="20"/>
        <v>6.0701754385964914</v>
      </c>
      <c r="G239" s="119">
        <v>182</v>
      </c>
      <c r="H239" s="120">
        <f t="shared" si="20"/>
        <v>-0.54838709677419351</v>
      </c>
      <c r="I239" s="119">
        <v>273</v>
      </c>
      <c r="J239" s="120">
        <f t="shared" si="20"/>
        <v>0.5</v>
      </c>
      <c r="K239" s="119">
        <v>235</v>
      </c>
      <c r="L239" s="120">
        <f t="shared" si="20"/>
        <v>-0.13919413919413914</v>
      </c>
      <c r="M239" s="119"/>
      <c r="N239" s="120"/>
    </row>
    <row r="240" spans="2:15" x14ac:dyDescent="0.25">
      <c r="B240" s="118" t="s">
        <v>95</v>
      </c>
      <c r="C240" s="119">
        <v>74</v>
      </c>
      <c r="D240" s="120">
        <v>-0.55151515151515151</v>
      </c>
      <c r="E240" s="119">
        <v>199</v>
      </c>
      <c r="F240" s="120">
        <f t="shared" si="20"/>
        <v>1.689189189189189</v>
      </c>
      <c r="G240" s="119">
        <v>281</v>
      </c>
      <c r="H240" s="120">
        <f t="shared" si="20"/>
        <v>0.4120603015075377</v>
      </c>
      <c r="I240" s="119">
        <v>228</v>
      </c>
      <c r="J240" s="120">
        <f t="shared" si="20"/>
        <v>-0.18861209964412806</v>
      </c>
      <c r="K240" s="119">
        <v>310</v>
      </c>
      <c r="L240" s="120">
        <f t="shared" si="20"/>
        <v>0.35964912280701755</v>
      </c>
      <c r="M240" s="119"/>
      <c r="N240" s="120"/>
    </row>
    <row r="241" spans="2:15" ht="15.75" x14ac:dyDescent="0.25">
      <c r="B241" s="121" t="s">
        <v>32</v>
      </c>
      <c r="C241" s="122">
        <v>812</v>
      </c>
      <c r="D241" s="123">
        <v>-0.45283018867924529</v>
      </c>
      <c r="E241" s="122">
        <v>1357</v>
      </c>
      <c r="F241" s="123">
        <f t="shared" si="20"/>
        <v>0.67118226600985231</v>
      </c>
      <c r="G241" s="122">
        <v>1836</v>
      </c>
      <c r="H241" s="123">
        <f t="shared" si="20"/>
        <v>0.35298452468680908</v>
      </c>
      <c r="I241" s="122">
        <v>1934</v>
      </c>
      <c r="J241" s="123">
        <f t="shared" si="20"/>
        <v>5.3376906318082895E-2</v>
      </c>
      <c r="K241" s="122">
        <v>2091</v>
      </c>
      <c r="L241" s="123">
        <f t="shared" si="20"/>
        <v>8.1178903826266913E-2</v>
      </c>
      <c r="M241" s="122">
        <v>1127</v>
      </c>
      <c r="N241" s="123">
        <v>0.11253701875616984</v>
      </c>
    </row>
    <row r="242" spans="2:15" ht="6" customHeight="1" x14ac:dyDescent="0.25"/>
    <row r="243" spans="2:15" x14ac:dyDescent="0.25">
      <c r="B243" s="107" t="s">
        <v>57</v>
      </c>
      <c r="C243" s="107"/>
      <c r="D243" s="107"/>
      <c r="E243" s="107"/>
      <c r="F243" s="107"/>
      <c r="G243" s="107"/>
      <c r="H243" s="107"/>
      <c r="I243" s="107"/>
      <c r="J243" s="107"/>
      <c r="K243" s="107"/>
      <c r="L243" s="107"/>
      <c r="M243" s="107"/>
      <c r="N243" s="107"/>
    </row>
    <row r="244" spans="2:15" x14ac:dyDescent="0.25">
      <c r="C244" s="124"/>
      <c r="K244" s="124"/>
      <c r="M244" s="107"/>
    </row>
    <row r="246" spans="2:15" ht="48.75" customHeight="1" thickBot="1" x14ac:dyDescent="0.3">
      <c r="B246" s="278" t="s">
        <v>245</v>
      </c>
      <c r="C246" s="278"/>
      <c r="D246" s="278"/>
      <c r="E246" s="278"/>
      <c r="F246" s="278"/>
      <c r="G246" s="278"/>
      <c r="H246" s="278"/>
      <c r="I246" s="278"/>
      <c r="J246" s="278"/>
      <c r="K246" s="278"/>
      <c r="L246" s="278"/>
      <c r="M246" s="278"/>
      <c r="N246" s="278"/>
      <c r="O246" s="1" t="s">
        <v>128</v>
      </c>
    </row>
    <row r="247" spans="2:15" ht="10.5" customHeight="1" thickBot="1" x14ac:dyDescent="0.3">
      <c r="B247" s="108"/>
      <c r="C247" s="109"/>
      <c r="D247" s="108"/>
      <c r="E247" s="108"/>
      <c r="F247" s="108"/>
      <c r="G247" s="108"/>
      <c r="H247" s="108"/>
      <c r="I247" s="108"/>
      <c r="J247" s="108"/>
      <c r="K247" s="108"/>
      <c r="L247" s="108"/>
      <c r="M247" s="4"/>
      <c r="N247" s="4"/>
      <c r="O247" s="1" t="s">
        <v>129</v>
      </c>
    </row>
    <row r="248" spans="2:15" ht="22.5" thickTop="1" thickBot="1" x14ac:dyDescent="0.3">
      <c r="B248" s="125" t="str">
        <f>C248</f>
        <v>Dinamarca</v>
      </c>
      <c r="C248" s="303" t="s">
        <v>130</v>
      </c>
      <c r="D248" s="304"/>
      <c r="E248" s="304"/>
      <c r="F248" s="304"/>
      <c r="G248" s="304"/>
      <c r="H248" s="304"/>
      <c r="I248" s="304"/>
      <c r="J248" s="304"/>
      <c r="K248" s="304"/>
      <c r="L248" s="304"/>
      <c r="M248" s="304"/>
      <c r="N248" s="304"/>
    </row>
    <row r="249" spans="2:15" ht="22.5" thickTop="1" thickBot="1" x14ac:dyDescent="0.3">
      <c r="B249" s="111"/>
      <c r="C249" s="305">
        <f>C$7</f>
        <v>2020</v>
      </c>
      <c r="D249" s="306"/>
      <c r="E249" s="305">
        <f>E$7</f>
        <v>2021</v>
      </c>
      <c r="F249" s="306"/>
      <c r="G249" s="305">
        <f>G$7</f>
        <v>2022</v>
      </c>
      <c r="H249" s="306"/>
      <c r="I249" s="305">
        <f>I$7</f>
        <v>2023</v>
      </c>
      <c r="J249" s="306"/>
      <c r="K249" s="305">
        <f>K$7</f>
        <v>2024</v>
      </c>
      <c r="L249" s="306"/>
      <c r="M249" s="305">
        <f>M$7</f>
        <v>2025</v>
      </c>
      <c r="N249" s="306"/>
    </row>
    <row r="250" spans="2:15" ht="16.5" thickTop="1" thickBot="1" x14ac:dyDescent="0.3">
      <c r="B250" s="87"/>
      <c r="C250" s="115" t="s">
        <v>71</v>
      </c>
      <c r="D250" s="116" t="str">
        <f>CONCATENATE("var ",RIGHT(C249,2),"/",RIGHT(C249-1,2))</f>
        <v>var 20/19</v>
      </c>
      <c r="E250" s="117" t="s">
        <v>71</v>
      </c>
      <c r="F250" s="116" t="str">
        <f>CONCATENATE("var ",RIGHT(E249,2),"/",RIGHT(E249-1,2))</f>
        <v>var 21/20</v>
      </c>
      <c r="G250" s="117" t="s">
        <v>71</v>
      </c>
      <c r="H250" s="116" t="str">
        <f>CONCATENATE("var ",RIGHT(G249,2),"/",RIGHT(G249-1,2))</f>
        <v>var 22/21</v>
      </c>
      <c r="I250" s="117" t="s">
        <v>71</v>
      </c>
      <c r="J250" s="116" t="str">
        <f>CONCATENATE("var ",RIGHT(I249,2),"/",RIGHT(I249-1,2))</f>
        <v>var 23/22</v>
      </c>
      <c r="K250" s="117" t="s">
        <v>71</v>
      </c>
      <c r="L250" s="116" t="str">
        <f>CONCATENATE("var ",RIGHT(K249,2),"/",RIGHT(K249-1,2))</f>
        <v>var 24/23</v>
      </c>
      <c r="M250" s="117" t="s">
        <v>71</v>
      </c>
      <c r="N250" s="116" t="str">
        <f>CONCATENATE("var ",RIGHT(M249,2),"/",RIGHT(M249-1,2))</f>
        <v>var 25/24</v>
      </c>
    </row>
    <row r="251" spans="2:15" x14ac:dyDescent="0.25">
      <c r="B251" s="118" t="s">
        <v>73</v>
      </c>
      <c r="C251" s="119">
        <v>301</v>
      </c>
      <c r="D251" s="120">
        <v>4.8780487804878092E-2</v>
      </c>
      <c r="E251" s="119">
        <v>2</v>
      </c>
      <c r="F251" s="120">
        <f t="shared" ref="F251:L263" si="22">IFERROR(E251/C251-1,"-")</f>
        <v>-0.99335548172757471</v>
      </c>
      <c r="G251" s="119">
        <v>168</v>
      </c>
      <c r="H251" s="120">
        <f t="shared" si="22"/>
        <v>83</v>
      </c>
      <c r="I251" s="119">
        <v>190</v>
      </c>
      <c r="J251" s="120">
        <f t="shared" si="22"/>
        <v>0.13095238095238093</v>
      </c>
      <c r="K251" s="119">
        <v>268</v>
      </c>
      <c r="L251" s="120">
        <f t="shared" si="22"/>
        <v>0.41052631578947363</v>
      </c>
      <c r="M251" s="119">
        <v>203</v>
      </c>
      <c r="N251" s="120">
        <f t="shared" ref="N251:N256" si="23">IFERROR(M251/K251-1,"-")</f>
        <v>-0.2425373134328358</v>
      </c>
    </row>
    <row r="252" spans="2:15" x14ac:dyDescent="0.25">
      <c r="B252" s="118" t="s">
        <v>75</v>
      </c>
      <c r="C252" s="119">
        <v>214</v>
      </c>
      <c r="D252" s="120">
        <v>4.3902439024390283E-2</v>
      </c>
      <c r="E252" s="119">
        <v>2</v>
      </c>
      <c r="F252" s="120">
        <f t="shared" si="22"/>
        <v>-0.99065420560747663</v>
      </c>
      <c r="G252" s="119">
        <v>110</v>
      </c>
      <c r="H252" s="120">
        <f t="shared" si="22"/>
        <v>54</v>
      </c>
      <c r="I252" s="119">
        <v>153</v>
      </c>
      <c r="J252" s="120">
        <f t="shared" si="22"/>
        <v>0.39090909090909087</v>
      </c>
      <c r="K252" s="119">
        <v>235</v>
      </c>
      <c r="L252" s="120">
        <f t="shared" si="22"/>
        <v>0.53594771241830075</v>
      </c>
      <c r="M252" s="119">
        <v>199</v>
      </c>
      <c r="N252" s="120">
        <f t="shared" si="23"/>
        <v>-0.15319148936170213</v>
      </c>
    </row>
    <row r="253" spans="2:15" x14ac:dyDescent="0.25">
      <c r="B253" s="118" t="s">
        <v>77</v>
      </c>
      <c r="C253" s="119">
        <v>115</v>
      </c>
      <c r="D253" s="120">
        <v>-0.62662337662337664</v>
      </c>
      <c r="E253" s="119">
        <v>4</v>
      </c>
      <c r="F253" s="120">
        <f t="shared" si="22"/>
        <v>-0.9652173913043478</v>
      </c>
      <c r="G253" s="119">
        <v>124</v>
      </c>
      <c r="H253" s="120">
        <f t="shared" si="22"/>
        <v>30</v>
      </c>
      <c r="I253" s="119">
        <v>264</v>
      </c>
      <c r="J253" s="120">
        <f t="shared" si="22"/>
        <v>1.129032258064516</v>
      </c>
      <c r="K253" s="119">
        <v>198</v>
      </c>
      <c r="L253" s="120">
        <f t="shared" si="22"/>
        <v>-0.25</v>
      </c>
      <c r="M253" s="119">
        <v>146</v>
      </c>
      <c r="N253" s="120">
        <f t="shared" si="23"/>
        <v>-0.26262626262626265</v>
      </c>
    </row>
    <row r="254" spans="2:15" x14ac:dyDescent="0.25">
      <c r="B254" s="118" t="s">
        <v>79</v>
      </c>
      <c r="C254" s="119">
        <v>0</v>
      </c>
      <c r="D254" s="120">
        <v>-1</v>
      </c>
      <c r="E254" s="119">
        <v>9</v>
      </c>
      <c r="F254" s="120" t="str">
        <f t="shared" si="22"/>
        <v>-</v>
      </c>
      <c r="G254" s="119">
        <v>101</v>
      </c>
      <c r="H254" s="120">
        <f t="shared" si="22"/>
        <v>10.222222222222221</v>
      </c>
      <c r="I254" s="119">
        <v>121</v>
      </c>
      <c r="J254" s="120">
        <f t="shared" si="22"/>
        <v>0.19801980198019797</v>
      </c>
      <c r="K254" s="119">
        <v>105</v>
      </c>
      <c r="L254" s="120">
        <f t="shared" si="22"/>
        <v>-0.13223140495867769</v>
      </c>
      <c r="M254" s="119">
        <v>82</v>
      </c>
      <c r="N254" s="120">
        <f t="shared" si="23"/>
        <v>-0.21904761904761905</v>
      </c>
    </row>
    <row r="255" spans="2:15" x14ac:dyDescent="0.25">
      <c r="B255" s="118" t="s">
        <v>81</v>
      </c>
      <c r="C255" s="119">
        <v>0</v>
      </c>
      <c r="D255" s="120">
        <v>-1</v>
      </c>
      <c r="E255" s="119">
        <v>14</v>
      </c>
      <c r="F255" s="120" t="str">
        <f t="shared" si="22"/>
        <v>-</v>
      </c>
      <c r="G255" s="119">
        <v>33</v>
      </c>
      <c r="H255" s="120">
        <f t="shared" si="22"/>
        <v>1.3571428571428572</v>
      </c>
      <c r="I255" s="119">
        <v>21</v>
      </c>
      <c r="J255" s="120">
        <f t="shared" si="22"/>
        <v>-0.36363636363636365</v>
      </c>
      <c r="K255" s="119">
        <v>13</v>
      </c>
      <c r="L255" s="120">
        <f t="shared" si="22"/>
        <v>-0.38095238095238093</v>
      </c>
      <c r="M255" s="119">
        <v>12</v>
      </c>
      <c r="N255" s="120">
        <f t="shared" si="23"/>
        <v>-7.6923076923076872E-2</v>
      </c>
    </row>
    <row r="256" spans="2:15" x14ac:dyDescent="0.25">
      <c r="B256" s="118" t="s">
        <v>83</v>
      </c>
      <c r="C256" s="119">
        <v>0</v>
      </c>
      <c r="D256" s="120">
        <v>-1</v>
      </c>
      <c r="E256" s="119">
        <v>3</v>
      </c>
      <c r="F256" s="120" t="str">
        <f t="shared" si="22"/>
        <v>-</v>
      </c>
      <c r="G256" s="119">
        <v>36</v>
      </c>
      <c r="H256" s="120">
        <f t="shared" si="22"/>
        <v>11</v>
      </c>
      <c r="I256" s="119">
        <v>26</v>
      </c>
      <c r="J256" s="120">
        <f t="shared" si="22"/>
        <v>-0.27777777777777779</v>
      </c>
      <c r="K256" s="119">
        <v>39</v>
      </c>
      <c r="L256" s="120">
        <f t="shared" si="22"/>
        <v>0.5</v>
      </c>
      <c r="M256" s="119">
        <v>27</v>
      </c>
      <c r="N256" s="120">
        <f t="shared" si="23"/>
        <v>-0.30769230769230771</v>
      </c>
    </row>
    <row r="257" spans="2:15" x14ac:dyDescent="0.25">
      <c r="B257" s="118" t="s">
        <v>85</v>
      </c>
      <c r="C257" s="119">
        <v>0</v>
      </c>
      <c r="D257" s="120">
        <v>-1</v>
      </c>
      <c r="E257" s="119">
        <v>27</v>
      </c>
      <c r="F257" s="120" t="str">
        <f t="shared" si="22"/>
        <v>-</v>
      </c>
      <c r="G257" s="119">
        <v>30</v>
      </c>
      <c r="H257" s="120">
        <f t="shared" si="22"/>
        <v>0.11111111111111116</v>
      </c>
      <c r="I257" s="119">
        <v>25</v>
      </c>
      <c r="J257" s="120">
        <f t="shared" si="22"/>
        <v>-0.16666666666666663</v>
      </c>
      <c r="K257" s="119">
        <v>46</v>
      </c>
      <c r="L257" s="120">
        <f t="shared" si="22"/>
        <v>0.84000000000000008</v>
      </c>
      <c r="M257" s="119"/>
      <c r="N257" s="120"/>
    </row>
    <row r="258" spans="2:15" x14ac:dyDescent="0.25">
      <c r="B258" s="118" t="s">
        <v>87</v>
      </c>
      <c r="C258" s="119">
        <v>7</v>
      </c>
      <c r="D258" s="120">
        <v>-0.80555555555555558</v>
      </c>
      <c r="E258" s="119">
        <v>20</v>
      </c>
      <c r="F258" s="120">
        <f t="shared" si="22"/>
        <v>1.8571428571428572</v>
      </c>
      <c r="G258" s="119">
        <v>21</v>
      </c>
      <c r="H258" s="120">
        <f t="shared" si="22"/>
        <v>5.0000000000000044E-2</v>
      </c>
      <c r="I258" s="119">
        <v>33</v>
      </c>
      <c r="J258" s="120">
        <f t="shared" si="22"/>
        <v>0.5714285714285714</v>
      </c>
      <c r="K258" s="119">
        <v>18</v>
      </c>
      <c r="L258" s="120">
        <f t="shared" si="22"/>
        <v>-0.45454545454545459</v>
      </c>
      <c r="M258" s="119"/>
      <c r="N258" s="120"/>
    </row>
    <row r="259" spans="2:15" x14ac:dyDescent="0.25">
      <c r="B259" s="118" t="s">
        <v>89</v>
      </c>
      <c r="C259" s="119">
        <v>0</v>
      </c>
      <c r="D259" s="120">
        <v>-1</v>
      </c>
      <c r="E259" s="119">
        <v>17</v>
      </c>
      <c r="F259" s="120" t="str">
        <f t="shared" si="22"/>
        <v>-</v>
      </c>
      <c r="G259" s="119">
        <v>32</v>
      </c>
      <c r="H259" s="120">
        <f t="shared" si="22"/>
        <v>0.88235294117647056</v>
      </c>
      <c r="I259" s="119">
        <v>28</v>
      </c>
      <c r="J259" s="120">
        <f t="shared" si="22"/>
        <v>-0.125</v>
      </c>
      <c r="K259" s="119">
        <v>24</v>
      </c>
      <c r="L259" s="120">
        <f t="shared" si="22"/>
        <v>-0.1428571428571429</v>
      </c>
      <c r="M259" s="119"/>
      <c r="N259" s="120"/>
    </row>
    <row r="260" spans="2:15" x14ac:dyDescent="0.25">
      <c r="B260" s="118" t="s">
        <v>91</v>
      </c>
      <c r="C260" s="119">
        <v>15</v>
      </c>
      <c r="D260" s="120">
        <v>-0.85</v>
      </c>
      <c r="E260" s="119">
        <v>109</v>
      </c>
      <c r="F260" s="120">
        <f t="shared" si="22"/>
        <v>6.2666666666666666</v>
      </c>
      <c r="G260" s="119">
        <v>130</v>
      </c>
      <c r="H260" s="120">
        <f t="shared" si="22"/>
        <v>0.19266055045871555</v>
      </c>
      <c r="I260" s="119">
        <v>115</v>
      </c>
      <c r="J260" s="120">
        <f t="shared" si="22"/>
        <v>-0.11538461538461542</v>
      </c>
      <c r="K260" s="119">
        <v>112</v>
      </c>
      <c r="L260" s="120">
        <f t="shared" si="22"/>
        <v>-2.6086956521739091E-2</v>
      </c>
      <c r="M260" s="119"/>
      <c r="N260" s="120"/>
    </row>
    <row r="261" spans="2:15" x14ac:dyDescent="0.25">
      <c r="B261" s="118" t="s">
        <v>93</v>
      </c>
      <c r="C261" s="119">
        <v>11</v>
      </c>
      <c r="D261" s="120">
        <v>-0.93922651933701662</v>
      </c>
      <c r="E261" s="119">
        <v>167</v>
      </c>
      <c r="F261" s="120">
        <f t="shared" si="22"/>
        <v>14.181818181818182</v>
      </c>
      <c r="G261" s="119">
        <v>126</v>
      </c>
      <c r="H261" s="120">
        <f t="shared" si="22"/>
        <v>-0.24550898203592819</v>
      </c>
      <c r="I261" s="119">
        <v>177</v>
      </c>
      <c r="J261" s="120">
        <f t="shared" si="22"/>
        <v>0.40476190476190466</v>
      </c>
      <c r="K261" s="119">
        <v>118</v>
      </c>
      <c r="L261" s="120">
        <f t="shared" si="22"/>
        <v>-0.33333333333333337</v>
      </c>
      <c r="M261" s="119"/>
      <c r="N261" s="120"/>
    </row>
    <row r="262" spans="2:15" x14ac:dyDescent="0.25">
      <c r="B262" s="118" t="s">
        <v>95</v>
      </c>
      <c r="C262" s="119">
        <v>8</v>
      </c>
      <c r="D262" s="120">
        <v>-0.96116504854368934</v>
      </c>
      <c r="E262" s="119">
        <v>181</v>
      </c>
      <c r="F262" s="120">
        <f t="shared" si="22"/>
        <v>21.625</v>
      </c>
      <c r="G262" s="119">
        <v>164</v>
      </c>
      <c r="H262" s="120">
        <f t="shared" si="22"/>
        <v>-9.392265193370164E-2</v>
      </c>
      <c r="I262" s="119">
        <v>188</v>
      </c>
      <c r="J262" s="120">
        <f t="shared" si="22"/>
        <v>0.14634146341463405</v>
      </c>
      <c r="K262" s="119">
        <v>158</v>
      </c>
      <c r="L262" s="120">
        <f t="shared" si="22"/>
        <v>-0.15957446808510634</v>
      </c>
      <c r="M262" s="119"/>
      <c r="N262" s="120"/>
    </row>
    <row r="263" spans="2:15" ht="15.75" x14ac:dyDescent="0.25">
      <c r="B263" s="121" t="s">
        <v>32</v>
      </c>
      <c r="C263" s="122">
        <v>678</v>
      </c>
      <c r="D263" s="123">
        <v>-0.58225508317929764</v>
      </c>
      <c r="E263" s="122">
        <v>555</v>
      </c>
      <c r="F263" s="123">
        <f t="shared" si="22"/>
        <v>-0.18141592920353977</v>
      </c>
      <c r="G263" s="122">
        <v>1075</v>
      </c>
      <c r="H263" s="123">
        <f t="shared" si="22"/>
        <v>0.93693693693693691</v>
      </c>
      <c r="I263" s="122">
        <v>1341</v>
      </c>
      <c r="J263" s="123">
        <f t="shared" si="22"/>
        <v>0.24744186046511629</v>
      </c>
      <c r="K263" s="122">
        <v>1334</v>
      </c>
      <c r="L263" s="123">
        <f t="shared" si="22"/>
        <v>-5.2199850857569396E-3</v>
      </c>
      <c r="M263" s="122">
        <v>669</v>
      </c>
      <c r="N263" s="123">
        <v>-0.22027972027972031</v>
      </c>
    </row>
    <row r="264" spans="2:15" ht="6" customHeight="1" x14ac:dyDescent="0.25"/>
    <row r="265" spans="2:15" x14ac:dyDescent="0.25">
      <c r="B265" s="107" t="s">
        <v>57</v>
      </c>
      <c r="C265" s="107"/>
      <c r="D265" s="107"/>
      <c r="E265" s="107"/>
      <c r="F265" s="107"/>
      <c r="G265" s="107"/>
      <c r="H265" s="107"/>
      <c r="I265" s="107"/>
      <c r="J265" s="107"/>
      <c r="K265" s="107"/>
      <c r="L265" s="107"/>
      <c r="M265" s="107"/>
      <c r="N265" s="107"/>
    </row>
    <row r="266" spans="2:15" x14ac:dyDescent="0.25">
      <c r="K266" s="124"/>
    </row>
    <row r="268" spans="2:15" ht="48.75" customHeight="1" thickBot="1" x14ac:dyDescent="0.3">
      <c r="B268" s="278" t="s">
        <v>246</v>
      </c>
      <c r="C268" s="278"/>
      <c r="D268" s="278"/>
      <c r="E268" s="278"/>
      <c r="F268" s="278"/>
      <c r="G268" s="278"/>
      <c r="H268" s="278"/>
      <c r="I268" s="278"/>
      <c r="J268" s="278"/>
      <c r="K268" s="278"/>
      <c r="L268" s="278"/>
      <c r="M268" s="278"/>
      <c r="N268" s="278"/>
      <c r="O268" s="1" t="s">
        <v>131</v>
      </c>
    </row>
    <row r="269" spans="2:15" ht="10.5" customHeight="1" thickBot="1" x14ac:dyDescent="0.3">
      <c r="B269" s="108"/>
      <c r="C269" s="109"/>
      <c r="D269" s="108"/>
      <c r="E269" s="108"/>
      <c r="F269" s="108"/>
      <c r="G269" s="108"/>
      <c r="H269" s="108"/>
      <c r="I269" s="108"/>
      <c r="J269" s="108"/>
      <c r="K269" s="108"/>
      <c r="L269" s="108"/>
      <c r="M269" s="4"/>
      <c r="N269" s="4"/>
      <c r="O269" s="1" t="s">
        <v>132</v>
      </c>
    </row>
    <row r="270" spans="2:15" ht="22.5" thickTop="1" thickBot="1" x14ac:dyDescent="0.3">
      <c r="B270" s="125" t="str">
        <f>C270</f>
        <v>Suecia</v>
      </c>
      <c r="C270" s="303" t="s">
        <v>133</v>
      </c>
      <c r="D270" s="304"/>
      <c r="E270" s="304"/>
      <c r="F270" s="304"/>
      <c r="G270" s="304"/>
      <c r="H270" s="304"/>
      <c r="I270" s="304"/>
      <c r="J270" s="304"/>
      <c r="K270" s="304"/>
      <c r="L270" s="304"/>
      <c r="M270" s="304"/>
      <c r="N270" s="304"/>
    </row>
    <row r="271" spans="2:15" ht="22.5" thickTop="1" thickBot="1" x14ac:dyDescent="0.3">
      <c r="B271" s="111"/>
      <c r="C271" s="305">
        <f>C$7</f>
        <v>2020</v>
      </c>
      <c r="D271" s="306"/>
      <c r="E271" s="305">
        <f>E$7</f>
        <v>2021</v>
      </c>
      <c r="F271" s="306"/>
      <c r="G271" s="305">
        <f>G$7</f>
        <v>2022</v>
      </c>
      <c r="H271" s="306"/>
      <c r="I271" s="305">
        <f>I$7</f>
        <v>2023</v>
      </c>
      <c r="J271" s="306"/>
      <c r="K271" s="305">
        <f>K$7</f>
        <v>2024</v>
      </c>
      <c r="L271" s="306"/>
      <c r="M271" s="305">
        <f>M$7</f>
        <v>2025</v>
      </c>
      <c r="N271" s="306"/>
    </row>
    <row r="272" spans="2:15" ht="16.5" thickTop="1" thickBot="1" x14ac:dyDescent="0.3">
      <c r="B272" s="87"/>
      <c r="C272" s="115" t="s">
        <v>71</v>
      </c>
      <c r="D272" s="116" t="str">
        <f>CONCATENATE("var ",RIGHT(C271,2),"/",RIGHT(C271-1,2))</f>
        <v>var 20/19</v>
      </c>
      <c r="E272" s="117" t="s">
        <v>71</v>
      </c>
      <c r="F272" s="116" t="str">
        <f>CONCATENATE("var ",RIGHT(E271,2),"/",RIGHT(E271-1,2))</f>
        <v>var 21/20</v>
      </c>
      <c r="G272" s="117" t="s">
        <v>71</v>
      </c>
      <c r="H272" s="116" t="str">
        <f>CONCATENATE("var ",RIGHT(G271,2),"/",RIGHT(G271-1,2))</f>
        <v>var 22/21</v>
      </c>
      <c r="I272" s="117" t="s">
        <v>71</v>
      </c>
      <c r="J272" s="116" t="str">
        <f>CONCATENATE("var ",RIGHT(I271,2),"/",RIGHT(I271-1,2))</f>
        <v>var 23/22</v>
      </c>
      <c r="K272" s="117" t="s">
        <v>71</v>
      </c>
      <c r="L272" s="116" t="str">
        <f>CONCATENATE("var ",RIGHT(K271,2),"/",RIGHT(K271-1,2))</f>
        <v>var 24/23</v>
      </c>
      <c r="M272" s="117" t="s">
        <v>71</v>
      </c>
      <c r="N272" s="116" t="str">
        <f>CONCATENATE("var ",RIGHT(M271,2),"/",RIGHT(M271-1,2))</f>
        <v>var 25/24</v>
      </c>
    </row>
    <row r="273" spans="2:14" x14ac:dyDescent="0.25">
      <c r="B273" s="118" t="s">
        <v>73</v>
      </c>
      <c r="C273" s="119">
        <v>386</v>
      </c>
      <c r="D273" s="120">
        <v>-0.11059907834101379</v>
      </c>
      <c r="E273" s="119">
        <v>20</v>
      </c>
      <c r="F273" s="120">
        <f t="shared" ref="F273:L285" si="24">IFERROR(E273/C273-1,"-")</f>
        <v>-0.94818652849740936</v>
      </c>
      <c r="G273" s="119">
        <v>275</v>
      </c>
      <c r="H273" s="120">
        <f t="shared" si="24"/>
        <v>12.75</v>
      </c>
      <c r="I273" s="119">
        <v>453</v>
      </c>
      <c r="J273" s="120">
        <f t="shared" si="24"/>
        <v>0.64727272727272722</v>
      </c>
      <c r="K273" s="119">
        <v>381</v>
      </c>
      <c r="L273" s="120">
        <f t="shared" si="24"/>
        <v>-0.15894039735099341</v>
      </c>
      <c r="M273" s="119">
        <v>448</v>
      </c>
      <c r="N273" s="120">
        <f t="shared" ref="N273:N278" si="25">IFERROR(M273/K273-1,"-")</f>
        <v>0.1758530183727034</v>
      </c>
    </row>
    <row r="274" spans="2:14" x14ac:dyDescent="0.25">
      <c r="B274" s="118" t="s">
        <v>75</v>
      </c>
      <c r="C274" s="119">
        <v>408</v>
      </c>
      <c r="D274" s="120">
        <v>9.0909090909090828E-2</v>
      </c>
      <c r="E274" s="119">
        <v>10</v>
      </c>
      <c r="F274" s="120">
        <f t="shared" si="24"/>
        <v>-0.97549019607843135</v>
      </c>
      <c r="G274" s="119">
        <v>245</v>
      </c>
      <c r="H274" s="120">
        <f t="shared" si="24"/>
        <v>23.5</v>
      </c>
      <c r="I274" s="119">
        <v>313</v>
      </c>
      <c r="J274" s="120">
        <f t="shared" si="24"/>
        <v>0.27755102040816326</v>
      </c>
      <c r="K274" s="119">
        <v>336</v>
      </c>
      <c r="L274" s="120">
        <f t="shared" si="24"/>
        <v>7.348242811501593E-2</v>
      </c>
      <c r="M274" s="119">
        <v>370</v>
      </c>
      <c r="N274" s="120">
        <f t="shared" si="25"/>
        <v>0.10119047619047628</v>
      </c>
    </row>
    <row r="275" spans="2:14" x14ac:dyDescent="0.25">
      <c r="B275" s="118" t="s">
        <v>77</v>
      </c>
      <c r="C275" s="119">
        <v>176</v>
      </c>
      <c r="D275" s="120">
        <v>-0.60270880361173818</v>
      </c>
      <c r="E275" s="119">
        <v>24</v>
      </c>
      <c r="F275" s="120">
        <f t="shared" si="24"/>
        <v>-0.86363636363636365</v>
      </c>
      <c r="G275" s="119">
        <v>204</v>
      </c>
      <c r="H275" s="120">
        <f t="shared" si="24"/>
        <v>7.5</v>
      </c>
      <c r="I275" s="119">
        <v>321</v>
      </c>
      <c r="J275" s="120">
        <f t="shared" si="24"/>
        <v>0.57352941176470584</v>
      </c>
      <c r="K275" s="119">
        <v>324</v>
      </c>
      <c r="L275" s="120">
        <f t="shared" si="24"/>
        <v>9.3457943925232545E-3</v>
      </c>
      <c r="M275" s="119">
        <v>322</v>
      </c>
      <c r="N275" s="120">
        <f t="shared" si="25"/>
        <v>-6.1728395061728669E-3</v>
      </c>
    </row>
    <row r="276" spans="2:14" x14ac:dyDescent="0.25">
      <c r="B276" s="118" t="s">
        <v>79</v>
      </c>
      <c r="C276" s="119">
        <v>0</v>
      </c>
      <c r="D276" s="120">
        <v>-1</v>
      </c>
      <c r="E276" s="119">
        <v>35</v>
      </c>
      <c r="F276" s="120" t="str">
        <f t="shared" si="24"/>
        <v>-</v>
      </c>
      <c r="G276" s="119">
        <v>203</v>
      </c>
      <c r="H276" s="120">
        <f t="shared" si="24"/>
        <v>4.8</v>
      </c>
      <c r="I276" s="119">
        <v>279</v>
      </c>
      <c r="J276" s="120">
        <f t="shared" si="24"/>
        <v>0.37438423645320196</v>
      </c>
      <c r="K276" s="119">
        <v>205</v>
      </c>
      <c r="L276" s="120">
        <f t="shared" si="24"/>
        <v>-0.26523297491039421</v>
      </c>
      <c r="M276" s="119">
        <v>156</v>
      </c>
      <c r="N276" s="120">
        <f t="shared" si="25"/>
        <v>-0.23902439024390243</v>
      </c>
    </row>
    <row r="277" spans="2:14" x14ac:dyDescent="0.25">
      <c r="B277" s="118" t="s">
        <v>81</v>
      </c>
      <c r="C277" s="119">
        <v>0</v>
      </c>
      <c r="D277" s="120">
        <v>-1</v>
      </c>
      <c r="E277" s="119">
        <v>25</v>
      </c>
      <c r="F277" s="120" t="str">
        <f t="shared" si="24"/>
        <v>-</v>
      </c>
      <c r="G277" s="119">
        <v>52</v>
      </c>
      <c r="H277" s="120">
        <f t="shared" si="24"/>
        <v>1.08</v>
      </c>
      <c r="I277" s="119">
        <v>55</v>
      </c>
      <c r="J277" s="120">
        <f t="shared" si="24"/>
        <v>5.7692307692307709E-2</v>
      </c>
      <c r="K277" s="119">
        <v>46</v>
      </c>
      <c r="L277" s="120">
        <f t="shared" si="24"/>
        <v>-0.16363636363636369</v>
      </c>
      <c r="M277" s="119">
        <v>45</v>
      </c>
      <c r="N277" s="120">
        <f t="shared" si="25"/>
        <v>-2.1739130434782594E-2</v>
      </c>
    </row>
    <row r="278" spans="2:14" x14ac:dyDescent="0.25">
      <c r="B278" s="118" t="s">
        <v>83</v>
      </c>
      <c r="C278" s="119">
        <v>0</v>
      </c>
      <c r="D278" s="120">
        <v>-1</v>
      </c>
      <c r="E278" s="119">
        <v>27</v>
      </c>
      <c r="F278" s="120" t="str">
        <f t="shared" si="24"/>
        <v>-</v>
      </c>
      <c r="G278" s="119">
        <v>51</v>
      </c>
      <c r="H278" s="120">
        <f t="shared" si="24"/>
        <v>0.88888888888888884</v>
      </c>
      <c r="I278" s="119">
        <v>33</v>
      </c>
      <c r="J278" s="120">
        <f t="shared" si="24"/>
        <v>-0.3529411764705882</v>
      </c>
      <c r="K278" s="119">
        <v>26</v>
      </c>
      <c r="L278" s="120">
        <f t="shared" si="24"/>
        <v>-0.21212121212121215</v>
      </c>
      <c r="M278" s="119">
        <v>23</v>
      </c>
      <c r="N278" s="120">
        <f t="shared" si="25"/>
        <v>-0.11538461538461542</v>
      </c>
    </row>
    <row r="279" spans="2:14" x14ac:dyDescent="0.25">
      <c r="B279" s="118" t="s">
        <v>85</v>
      </c>
      <c r="C279" s="119">
        <v>0</v>
      </c>
      <c r="D279" s="120">
        <v>-1</v>
      </c>
      <c r="E279" s="119">
        <v>25</v>
      </c>
      <c r="F279" s="120" t="str">
        <f t="shared" si="24"/>
        <v>-</v>
      </c>
      <c r="G279" s="119">
        <v>26</v>
      </c>
      <c r="H279" s="120">
        <f t="shared" si="24"/>
        <v>4.0000000000000036E-2</v>
      </c>
      <c r="I279" s="119">
        <v>39</v>
      </c>
      <c r="J279" s="120">
        <f t="shared" si="24"/>
        <v>0.5</v>
      </c>
      <c r="K279" s="119">
        <v>47</v>
      </c>
      <c r="L279" s="120">
        <f t="shared" si="24"/>
        <v>0.20512820512820507</v>
      </c>
      <c r="M279" s="119"/>
      <c r="N279" s="120"/>
    </row>
    <row r="280" spans="2:14" x14ac:dyDescent="0.25">
      <c r="B280" s="118" t="s">
        <v>87</v>
      </c>
      <c r="C280" s="119">
        <v>15</v>
      </c>
      <c r="D280" s="120">
        <v>-0.55882352941176472</v>
      </c>
      <c r="E280" s="119">
        <v>28</v>
      </c>
      <c r="F280" s="120">
        <f t="shared" si="24"/>
        <v>0.8666666666666667</v>
      </c>
      <c r="G280" s="119">
        <v>15</v>
      </c>
      <c r="H280" s="120">
        <f t="shared" si="24"/>
        <v>-0.4642857142857143</v>
      </c>
      <c r="I280" s="119">
        <v>34</v>
      </c>
      <c r="J280" s="120">
        <f t="shared" si="24"/>
        <v>1.2666666666666666</v>
      </c>
      <c r="K280" s="119">
        <v>38</v>
      </c>
      <c r="L280" s="120">
        <f t="shared" si="24"/>
        <v>0.11764705882352944</v>
      </c>
      <c r="M280" s="119"/>
      <c r="N280" s="120"/>
    </row>
    <row r="281" spans="2:14" x14ac:dyDescent="0.25">
      <c r="B281" s="118" t="s">
        <v>89</v>
      </c>
      <c r="C281" s="119">
        <v>25</v>
      </c>
      <c r="D281" s="120">
        <v>-0.34210526315789469</v>
      </c>
      <c r="E281" s="119">
        <v>33</v>
      </c>
      <c r="F281" s="120">
        <f t="shared" si="24"/>
        <v>0.32000000000000006</v>
      </c>
      <c r="G281" s="119">
        <v>34</v>
      </c>
      <c r="H281" s="120">
        <f t="shared" si="24"/>
        <v>3.0303030303030276E-2</v>
      </c>
      <c r="I281" s="119">
        <v>37</v>
      </c>
      <c r="J281" s="120">
        <f t="shared" si="24"/>
        <v>8.8235294117646967E-2</v>
      </c>
      <c r="K281" s="119">
        <v>24</v>
      </c>
      <c r="L281" s="120">
        <f t="shared" si="24"/>
        <v>-0.35135135135135132</v>
      </c>
      <c r="M281" s="119"/>
      <c r="N281" s="120"/>
    </row>
    <row r="282" spans="2:14" x14ac:dyDescent="0.25">
      <c r="B282" s="118" t="s">
        <v>91</v>
      </c>
      <c r="C282" s="119">
        <v>20</v>
      </c>
      <c r="D282" s="120">
        <v>-0.92156862745098045</v>
      </c>
      <c r="E282" s="119">
        <v>131</v>
      </c>
      <c r="F282" s="120">
        <f t="shared" si="24"/>
        <v>5.55</v>
      </c>
      <c r="G282" s="119">
        <v>161</v>
      </c>
      <c r="H282" s="120">
        <f t="shared" si="24"/>
        <v>0.2290076335877862</v>
      </c>
      <c r="I282" s="119">
        <v>242</v>
      </c>
      <c r="J282" s="120">
        <f t="shared" si="24"/>
        <v>0.50310559006211175</v>
      </c>
      <c r="K282" s="119">
        <v>228</v>
      </c>
      <c r="L282" s="120">
        <f t="shared" si="24"/>
        <v>-5.7851239669421517E-2</v>
      </c>
      <c r="M282" s="119"/>
      <c r="N282" s="120"/>
    </row>
    <row r="283" spans="2:14" x14ac:dyDescent="0.25">
      <c r="B283" s="118" t="s">
        <v>93</v>
      </c>
      <c r="C283" s="119">
        <v>27</v>
      </c>
      <c r="D283" s="120">
        <v>-0.92329545454545459</v>
      </c>
      <c r="E283" s="119">
        <v>237</v>
      </c>
      <c r="F283" s="120">
        <f t="shared" si="24"/>
        <v>7.7777777777777786</v>
      </c>
      <c r="G283" s="119">
        <v>262</v>
      </c>
      <c r="H283" s="120">
        <f t="shared" si="24"/>
        <v>0.10548523206751059</v>
      </c>
      <c r="I283" s="119">
        <v>292</v>
      </c>
      <c r="J283" s="120">
        <f t="shared" si="24"/>
        <v>0.11450381679389321</v>
      </c>
      <c r="K283" s="119">
        <v>371</v>
      </c>
      <c r="L283" s="120">
        <f t="shared" si="24"/>
        <v>0.27054794520547953</v>
      </c>
      <c r="M283" s="119"/>
      <c r="N283" s="120"/>
    </row>
    <row r="284" spans="2:14" x14ac:dyDescent="0.25">
      <c r="B284" s="118" t="s">
        <v>95</v>
      </c>
      <c r="C284" s="119">
        <v>24</v>
      </c>
      <c r="D284" s="120">
        <v>-0.93782383419689119</v>
      </c>
      <c r="E284" s="119">
        <v>324</v>
      </c>
      <c r="F284" s="120">
        <f t="shared" si="24"/>
        <v>12.5</v>
      </c>
      <c r="G284" s="119">
        <v>357</v>
      </c>
      <c r="H284" s="120">
        <f t="shared" si="24"/>
        <v>0.10185185185185186</v>
      </c>
      <c r="I284" s="119">
        <v>357</v>
      </c>
      <c r="J284" s="120">
        <f t="shared" si="24"/>
        <v>0</v>
      </c>
      <c r="K284" s="119">
        <v>467</v>
      </c>
      <c r="L284" s="120">
        <f t="shared" si="24"/>
        <v>0.3081232492997199</v>
      </c>
      <c r="M284" s="119"/>
      <c r="N284" s="120"/>
    </row>
    <row r="285" spans="2:14" ht="15.75" x14ac:dyDescent="0.25">
      <c r="B285" s="121" t="s">
        <v>32</v>
      </c>
      <c r="C285" s="122">
        <v>1097</v>
      </c>
      <c r="D285" s="123">
        <v>-0.59082431928384938</v>
      </c>
      <c r="E285" s="122">
        <v>919</v>
      </c>
      <c r="F285" s="123">
        <f t="shared" si="24"/>
        <v>-0.16226071103008199</v>
      </c>
      <c r="G285" s="122">
        <v>1885</v>
      </c>
      <c r="H285" s="123">
        <f t="shared" si="24"/>
        <v>1.0511425462459196</v>
      </c>
      <c r="I285" s="122">
        <v>2455</v>
      </c>
      <c r="J285" s="123">
        <f t="shared" si="24"/>
        <v>0.3023872679045092</v>
      </c>
      <c r="K285" s="122">
        <v>2493</v>
      </c>
      <c r="L285" s="123">
        <f t="shared" si="24"/>
        <v>1.5478615071283119E-2</v>
      </c>
      <c r="M285" s="122">
        <v>1364</v>
      </c>
      <c r="N285" s="123">
        <v>3.4901365705614529E-2</v>
      </c>
    </row>
    <row r="286" spans="2:14" ht="6" customHeight="1" x14ac:dyDescent="0.25"/>
    <row r="287" spans="2:14" x14ac:dyDescent="0.25">
      <c r="B287" s="107" t="s">
        <v>57</v>
      </c>
      <c r="C287" s="107"/>
      <c r="D287" s="107"/>
      <c r="E287" s="107"/>
      <c r="F287" s="107"/>
      <c r="G287" s="107"/>
      <c r="H287" s="107"/>
      <c r="I287" s="107"/>
      <c r="J287" s="107"/>
      <c r="K287" s="107"/>
      <c r="L287" s="107"/>
      <c r="M287" s="107"/>
      <c r="N287" s="107"/>
    </row>
    <row r="288" spans="2:14" x14ac:dyDescent="0.25">
      <c r="C288" s="124"/>
      <c r="K288" s="124"/>
      <c r="N288" s="81"/>
    </row>
    <row r="290" spans="3:13" x14ac:dyDescent="0.25">
      <c r="C290" s="81"/>
      <c r="E290" s="81"/>
      <c r="G290" s="81"/>
      <c r="I290" s="81"/>
      <c r="K290" s="81"/>
      <c r="M290" s="81"/>
    </row>
  </sheetData>
  <mergeCells count="104">
    <mergeCell ref="B4:N4"/>
    <mergeCell ref="C6:N6"/>
    <mergeCell ref="C7:D7"/>
    <mergeCell ref="E7:F7"/>
    <mergeCell ref="G7:H7"/>
    <mergeCell ref="I7:J7"/>
    <mergeCell ref="K7:L7"/>
    <mergeCell ref="M7:N7"/>
    <mergeCell ref="B48:N48"/>
    <mergeCell ref="C50:N50"/>
    <mergeCell ref="C51:D51"/>
    <mergeCell ref="E51:F51"/>
    <mergeCell ref="G51:H51"/>
    <mergeCell ref="I51:J51"/>
    <mergeCell ref="K51:L51"/>
    <mergeCell ref="M51:N51"/>
    <mergeCell ref="B26:N26"/>
    <mergeCell ref="C28:N28"/>
    <mergeCell ref="C29:D29"/>
    <mergeCell ref="E29:F29"/>
    <mergeCell ref="G29:H29"/>
    <mergeCell ref="I29:J29"/>
    <mergeCell ref="K29:L29"/>
    <mergeCell ref="M29:N29"/>
    <mergeCell ref="B92:N92"/>
    <mergeCell ref="C94:N94"/>
    <mergeCell ref="C95:D95"/>
    <mergeCell ref="E95:F95"/>
    <mergeCell ref="G95:H95"/>
    <mergeCell ref="I95:J95"/>
    <mergeCell ref="K95:L95"/>
    <mergeCell ref="M95:N95"/>
    <mergeCell ref="B70:N70"/>
    <mergeCell ref="C72:N72"/>
    <mergeCell ref="C73:D73"/>
    <mergeCell ref="E73:F73"/>
    <mergeCell ref="G73:H73"/>
    <mergeCell ref="I73:J73"/>
    <mergeCell ref="K73:L73"/>
    <mergeCell ref="M73:N73"/>
    <mergeCell ref="B136:N136"/>
    <mergeCell ref="C138:N138"/>
    <mergeCell ref="C139:D139"/>
    <mergeCell ref="E139:F139"/>
    <mergeCell ref="G139:H139"/>
    <mergeCell ref="I139:J139"/>
    <mergeCell ref="K139:L139"/>
    <mergeCell ref="M139:N139"/>
    <mergeCell ref="B114:N114"/>
    <mergeCell ref="C116:N116"/>
    <mergeCell ref="C117:D117"/>
    <mergeCell ref="E117:F117"/>
    <mergeCell ref="G117:H117"/>
    <mergeCell ref="I117:J117"/>
    <mergeCell ref="K117:L117"/>
    <mergeCell ref="M117:N117"/>
    <mergeCell ref="B180:N180"/>
    <mergeCell ref="C182:N182"/>
    <mergeCell ref="C183:D183"/>
    <mergeCell ref="E183:F183"/>
    <mergeCell ref="G183:H183"/>
    <mergeCell ref="I183:J183"/>
    <mergeCell ref="K183:L183"/>
    <mergeCell ref="M183:N183"/>
    <mergeCell ref="B158:N158"/>
    <mergeCell ref="C160:N160"/>
    <mergeCell ref="C161:D161"/>
    <mergeCell ref="E161:F161"/>
    <mergeCell ref="G161:H161"/>
    <mergeCell ref="I161:J161"/>
    <mergeCell ref="K161:L161"/>
    <mergeCell ref="M161:N161"/>
    <mergeCell ref="B224:N224"/>
    <mergeCell ref="C226:N226"/>
    <mergeCell ref="C227:D227"/>
    <mergeCell ref="E227:F227"/>
    <mergeCell ref="G227:H227"/>
    <mergeCell ref="I227:J227"/>
    <mergeCell ref="K227:L227"/>
    <mergeCell ref="M227:N227"/>
    <mergeCell ref="B202:N202"/>
    <mergeCell ref="C204:N204"/>
    <mergeCell ref="C205:D205"/>
    <mergeCell ref="E205:F205"/>
    <mergeCell ref="G205:H205"/>
    <mergeCell ref="I205:J205"/>
    <mergeCell ref="K205:L205"/>
    <mergeCell ref="M205:N205"/>
    <mergeCell ref="B268:N268"/>
    <mergeCell ref="C270:N270"/>
    <mergeCell ref="C271:D271"/>
    <mergeCell ref="E271:F271"/>
    <mergeCell ref="G271:H271"/>
    <mergeCell ref="I271:J271"/>
    <mergeCell ref="K271:L271"/>
    <mergeCell ref="M271:N271"/>
    <mergeCell ref="B246:N246"/>
    <mergeCell ref="C248:N248"/>
    <mergeCell ref="C249:D249"/>
    <mergeCell ref="E249:F249"/>
    <mergeCell ref="G249:H249"/>
    <mergeCell ref="I249:J249"/>
    <mergeCell ref="K249:L249"/>
    <mergeCell ref="M249:N249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E77076-8998-4834-A3C6-4F07413AA11C}">
  <sheetPr>
    <tabColor theme="7" tint="0.79998168889431442"/>
  </sheetPr>
  <dimension ref="A4:R23"/>
  <sheetViews>
    <sheetView showGridLines="0" zoomScaleNormal="100" workbookViewId="0"/>
  </sheetViews>
  <sheetFormatPr baseColWidth="10" defaultColWidth="11.42578125" defaultRowHeight="15" x14ac:dyDescent="0.25"/>
  <cols>
    <col min="1" max="1" width="15.28515625" customWidth="1"/>
    <col min="2" max="2" width="14.28515625" customWidth="1"/>
    <col min="17" max="17" width="13.5703125" bestFit="1" customWidth="1"/>
  </cols>
  <sheetData>
    <row r="4" spans="1:18" ht="48.75" customHeight="1" thickBot="1" x14ac:dyDescent="0.3">
      <c r="B4" s="278" t="s">
        <v>235</v>
      </c>
      <c r="C4" s="278"/>
      <c r="D4" s="278"/>
      <c r="E4" s="278"/>
      <c r="F4" s="278"/>
      <c r="G4" s="278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1" t="s">
        <v>68</v>
      </c>
    </row>
    <row r="5" spans="1:18" ht="10.5" customHeight="1" thickBot="1" x14ac:dyDescent="0.3">
      <c r="B5" s="108"/>
      <c r="C5" s="108"/>
      <c r="D5" s="108"/>
      <c r="E5" s="108"/>
      <c r="F5" s="108"/>
      <c r="G5" s="108"/>
      <c r="H5" s="108"/>
      <c r="I5" s="108"/>
      <c r="J5" s="109"/>
      <c r="K5" s="108"/>
      <c r="L5" s="108"/>
      <c r="M5" s="108"/>
      <c r="N5" s="108"/>
      <c r="O5" s="108"/>
      <c r="P5" s="4"/>
      <c r="Q5" s="4"/>
      <c r="R5" s="1" t="s">
        <v>69</v>
      </c>
    </row>
    <row r="6" spans="1:18" ht="22.5" thickTop="1" thickBot="1" x14ac:dyDescent="0.3">
      <c r="B6" s="110" t="s">
        <v>32</v>
      </c>
      <c r="C6" s="303" t="s">
        <v>134</v>
      </c>
      <c r="D6" s="304"/>
      <c r="E6" s="304"/>
      <c r="F6" s="304"/>
      <c r="G6" s="304"/>
      <c r="H6" s="304"/>
      <c r="I6" s="304"/>
      <c r="J6" s="304"/>
      <c r="K6" s="304"/>
      <c r="L6" s="304"/>
      <c r="M6" s="304"/>
      <c r="N6" s="304"/>
      <c r="O6" s="304"/>
      <c r="P6" s="304"/>
      <c r="Q6" s="304"/>
    </row>
    <row r="7" spans="1:18" ht="22.5" thickTop="1" thickBot="1" x14ac:dyDescent="0.3">
      <c r="B7" s="111"/>
      <c r="C7" s="112">
        <v>2018</v>
      </c>
      <c r="D7" s="305">
        <v>2019</v>
      </c>
      <c r="E7" s="306"/>
      <c r="F7" s="305">
        <v>2020</v>
      </c>
      <c r="G7" s="306"/>
      <c r="H7" s="305">
        <v>2021</v>
      </c>
      <c r="I7" s="306"/>
      <c r="J7" s="305">
        <v>2022</v>
      </c>
      <c r="K7" s="306"/>
      <c r="L7" s="307">
        <v>2023</v>
      </c>
      <c r="M7" s="306"/>
      <c r="N7" s="307">
        <v>2024</v>
      </c>
      <c r="O7" s="308"/>
      <c r="P7" s="307">
        <v>2025</v>
      </c>
      <c r="Q7" s="308"/>
    </row>
    <row r="8" spans="1:18" ht="16.5" thickTop="1" thickBot="1" x14ac:dyDescent="0.3">
      <c r="B8" s="87"/>
      <c r="C8" s="115" t="s">
        <v>71</v>
      </c>
      <c r="D8" s="115" t="s">
        <v>71</v>
      </c>
      <c r="E8" s="116" t="s">
        <v>135</v>
      </c>
      <c r="F8" s="115" t="s">
        <v>71</v>
      </c>
      <c r="G8" s="116" t="s">
        <v>136</v>
      </c>
      <c r="H8" s="115" t="s">
        <v>71</v>
      </c>
      <c r="I8" s="116" t="s">
        <v>137</v>
      </c>
      <c r="J8" s="115" t="s">
        <v>71</v>
      </c>
      <c r="K8" s="116" t="s">
        <v>138</v>
      </c>
      <c r="L8" s="117" t="s">
        <v>71</v>
      </c>
      <c r="M8" s="116" t="s">
        <v>247</v>
      </c>
      <c r="N8" s="117" t="s">
        <v>71</v>
      </c>
      <c r="O8" s="116" t="s">
        <v>248</v>
      </c>
      <c r="P8" s="117" t="s">
        <v>71</v>
      </c>
      <c r="Q8" s="116" t="s">
        <v>138</v>
      </c>
    </row>
    <row r="9" spans="1:18" x14ac:dyDescent="0.25">
      <c r="A9" s="1" t="s">
        <v>72</v>
      </c>
      <c r="B9" s="118" t="s">
        <v>73</v>
      </c>
      <c r="C9" s="119">
        <v>20999</v>
      </c>
      <c r="D9" s="119">
        <v>20553</v>
      </c>
      <c r="E9" s="120">
        <f t="shared" ref="E9:E21" si="0">D9/C9-1</f>
        <v>-2.1239106624124982E-2</v>
      </c>
      <c r="F9" s="119">
        <v>20553</v>
      </c>
      <c r="G9" s="120">
        <f>F9/D9-1</f>
        <v>0</v>
      </c>
      <c r="H9" s="119">
        <v>4767</v>
      </c>
      <c r="I9" s="120">
        <f>IFERROR(H9/F9-1,"-")</f>
        <v>-0.76806305648810391</v>
      </c>
      <c r="J9" s="119">
        <v>14146</v>
      </c>
      <c r="K9" s="120">
        <f>IFERROR(J9/H9-1,"-")</f>
        <v>1.9674847912733373</v>
      </c>
      <c r="L9" s="119">
        <v>23609</v>
      </c>
      <c r="M9" s="120">
        <f t="shared" ref="M9:M21" si="1">IFERROR(L9/J9-1,"-")</f>
        <v>0.66895235402233855</v>
      </c>
      <c r="N9" s="119">
        <v>23867</v>
      </c>
      <c r="O9" s="120">
        <f>IFERROR(N9/L9-1,"-")</f>
        <v>1.0928035918505552E-2</v>
      </c>
      <c r="P9" s="119">
        <v>24602</v>
      </c>
      <c r="Q9" s="120">
        <f t="shared" ref="Q9:Q20" si="2">IFERROR(P9/N9-1,"-")</f>
        <v>3.0795659278501697E-2</v>
      </c>
    </row>
    <row r="10" spans="1:18" x14ac:dyDescent="0.25">
      <c r="A10" s="1" t="s">
        <v>74</v>
      </c>
      <c r="B10" s="118" t="s">
        <v>75</v>
      </c>
      <c r="C10" s="119">
        <v>22242</v>
      </c>
      <c r="D10" s="119">
        <v>20929</v>
      </c>
      <c r="E10" s="120">
        <f t="shared" si="0"/>
        <v>-5.9032461109612466E-2</v>
      </c>
      <c r="F10" s="119">
        <v>23364</v>
      </c>
      <c r="G10" s="120">
        <f t="shared" ref="G10:G20" si="3">F10/D10-1</f>
        <v>0.11634574036026568</v>
      </c>
      <c r="H10" s="119">
        <v>8041</v>
      </c>
      <c r="I10" s="120">
        <f t="shared" ref="I10:I21" si="4">IFERROR(H10/F10-1,"-")</f>
        <v>-0.65583804143126179</v>
      </c>
      <c r="J10" s="119">
        <v>17059</v>
      </c>
      <c r="K10" s="120">
        <f t="shared" ref="K10:K21" si="5">IFERROR(J10/H10-1,"-")</f>
        <v>1.1215023007088671</v>
      </c>
      <c r="L10" s="119">
        <v>22775</v>
      </c>
      <c r="M10" s="120">
        <f t="shared" si="1"/>
        <v>0.33507239580280213</v>
      </c>
      <c r="N10" s="119">
        <v>22625</v>
      </c>
      <c r="O10" s="120">
        <f t="shared" ref="O10:O21" si="6">IFERROR(N10/L10-1,"-")</f>
        <v>-6.5861690450055299E-3</v>
      </c>
      <c r="P10" s="119">
        <v>24926</v>
      </c>
      <c r="Q10" s="120">
        <f t="shared" si="2"/>
        <v>0.10170165745856363</v>
      </c>
    </row>
    <row r="11" spans="1:18" x14ac:dyDescent="0.25">
      <c r="A11" s="1" t="s">
        <v>76</v>
      </c>
      <c r="B11" s="118" t="s">
        <v>77</v>
      </c>
      <c r="C11" s="119">
        <v>22137</v>
      </c>
      <c r="D11" s="119">
        <v>21779</v>
      </c>
      <c r="E11" s="120">
        <f t="shared" si="0"/>
        <v>-1.6172019695532391E-2</v>
      </c>
      <c r="F11" s="119">
        <v>8936</v>
      </c>
      <c r="G11" s="120">
        <f t="shared" si="3"/>
        <v>-0.58969649662518941</v>
      </c>
      <c r="H11" s="119">
        <v>10312</v>
      </c>
      <c r="I11" s="120">
        <f t="shared" si="4"/>
        <v>0.15398388540734098</v>
      </c>
      <c r="J11" s="119">
        <v>20054</v>
      </c>
      <c r="K11" s="120">
        <f t="shared" si="5"/>
        <v>0.94472459270752518</v>
      </c>
      <c r="L11" s="119">
        <v>25174</v>
      </c>
      <c r="M11" s="120">
        <f t="shared" si="1"/>
        <v>0.25531066121472024</v>
      </c>
      <c r="N11" s="119">
        <v>22971</v>
      </c>
      <c r="O11" s="120">
        <f t="shared" si="6"/>
        <v>-8.7510923969174592E-2</v>
      </c>
      <c r="P11" s="119">
        <v>26883</v>
      </c>
      <c r="Q11" s="120">
        <f t="shared" si="2"/>
        <v>0.17030168473292417</v>
      </c>
    </row>
    <row r="12" spans="1:18" x14ac:dyDescent="0.25">
      <c r="A12" s="1" t="s">
        <v>78</v>
      </c>
      <c r="B12" s="118" t="s">
        <v>79</v>
      </c>
      <c r="C12" s="119">
        <v>19413</v>
      </c>
      <c r="D12" s="119">
        <v>16758</v>
      </c>
      <c r="E12" s="120">
        <f t="shared" si="0"/>
        <v>-0.13676402410755684</v>
      </c>
      <c r="F12" s="119">
        <v>0</v>
      </c>
      <c r="G12" s="120">
        <f t="shared" si="3"/>
        <v>-1</v>
      </c>
      <c r="H12" s="119">
        <v>9597</v>
      </c>
      <c r="I12" s="120" t="str">
        <f t="shared" si="4"/>
        <v>-</v>
      </c>
      <c r="J12" s="119">
        <v>17340</v>
      </c>
      <c r="K12" s="120">
        <f t="shared" si="5"/>
        <v>0.8068146295717411</v>
      </c>
      <c r="L12" s="119">
        <v>19154</v>
      </c>
      <c r="M12" s="120">
        <f t="shared" si="1"/>
        <v>0.10461361014994242</v>
      </c>
      <c r="N12" s="119">
        <v>19029</v>
      </c>
      <c r="O12" s="120">
        <f t="shared" si="6"/>
        <v>-6.5260519995823385E-3</v>
      </c>
      <c r="P12" s="119">
        <v>20857</v>
      </c>
      <c r="Q12" s="120">
        <f t="shared" si="2"/>
        <v>9.6063902464659234E-2</v>
      </c>
    </row>
    <row r="13" spans="1:18" x14ac:dyDescent="0.25">
      <c r="A13" s="1" t="s">
        <v>80</v>
      </c>
      <c r="B13" s="118" t="s">
        <v>81</v>
      </c>
      <c r="C13" s="119">
        <v>19110</v>
      </c>
      <c r="D13" s="119">
        <v>17027</v>
      </c>
      <c r="E13" s="120">
        <f t="shared" si="0"/>
        <v>-0.10900052328623755</v>
      </c>
      <c r="F13" s="119">
        <v>0</v>
      </c>
      <c r="G13" s="120">
        <f t="shared" si="3"/>
        <v>-1</v>
      </c>
      <c r="H13" s="119">
        <v>12545</v>
      </c>
      <c r="I13" s="120" t="str">
        <f t="shared" si="4"/>
        <v>-</v>
      </c>
      <c r="J13" s="119">
        <v>18214</v>
      </c>
      <c r="K13" s="120">
        <f t="shared" si="5"/>
        <v>0.45189318453567151</v>
      </c>
      <c r="L13" s="119">
        <v>17881</v>
      </c>
      <c r="M13" s="120">
        <f t="shared" si="1"/>
        <v>-1.828263972768196E-2</v>
      </c>
      <c r="N13" s="119">
        <v>17439</v>
      </c>
      <c r="O13" s="120">
        <f t="shared" si="6"/>
        <v>-2.4718975448800418E-2</v>
      </c>
      <c r="P13" s="119">
        <v>22620</v>
      </c>
      <c r="Q13" s="120">
        <f t="shared" si="2"/>
        <v>0.29709272320660585</v>
      </c>
    </row>
    <row r="14" spans="1:18" x14ac:dyDescent="0.25">
      <c r="A14" s="1" t="s">
        <v>82</v>
      </c>
      <c r="B14" s="118" t="s">
        <v>83</v>
      </c>
      <c r="C14" s="119">
        <v>18113</v>
      </c>
      <c r="D14" s="119">
        <v>15071</v>
      </c>
      <c r="E14" s="120">
        <f t="shared" si="0"/>
        <v>-0.16794567437751895</v>
      </c>
      <c r="F14" s="119">
        <v>0</v>
      </c>
      <c r="G14" s="120">
        <f t="shared" si="3"/>
        <v>-1</v>
      </c>
      <c r="H14" s="119">
        <v>13541</v>
      </c>
      <c r="I14" s="120" t="str">
        <f t="shared" si="4"/>
        <v>-</v>
      </c>
      <c r="J14" s="119">
        <v>17608</v>
      </c>
      <c r="K14" s="120">
        <f t="shared" si="5"/>
        <v>0.30034709401078197</v>
      </c>
      <c r="L14" s="119">
        <v>17983</v>
      </c>
      <c r="M14" s="120">
        <f t="shared" si="1"/>
        <v>2.1297137664697763E-2</v>
      </c>
      <c r="N14" s="119">
        <v>19479</v>
      </c>
      <c r="O14" s="120">
        <f t="shared" si="6"/>
        <v>8.3189679141411288E-2</v>
      </c>
      <c r="P14" s="119">
        <v>20873</v>
      </c>
      <c r="Q14" s="120">
        <f t="shared" si="2"/>
        <v>7.1564248678063658E-2</v>
      </c>
    </row>
    <row r="15" spans="1:18" x14ac:dyDescent="0.25">
      <c r="A15" s="1" t="s">
        <v>84</v>
      </c>
      <c r="B15" s="118" t="s">
        <v>85</v>
      </c>
      <c r="C15" s="119">
        <v>17854</v>
      </c>
      <c r="D15" s="119">
        <v>17228</v>
      </c>
      <c r="E15" s="120">
        <f t="shared" si="0"/>
        <v>-3.5062170942085857E-2</v>
      </c>
      <c r="F15" s="119">
        <v>0</v>
      </c>
      <c r="G15" s="120">
        <f t="shared" si="3"/>
        <v>-1</v>
      </c>
      <c r="H15" s="119">
        <v>14398</v>
      </c>
      <c r="I15" s="120" t="str">
        <f t="shared" si="4"/>
        <v>-</v>
      </c>
      <c r="J15" s="119">
        <v>18083</v>
      </c>
      <c r="K15" s="120">
        <f t="shared" si="5"/>
        <v>0.25593832476732881</v>
      </c>
      <c r="L15" s="119">
        <v>16810</v>
      </c>
      <c r="M15" s="120">
        <f t="shared" si="1"/>
        <v>-7.0397611015871275E-2</v>
      </c>
      <c r="N15" s="119">
        <v>21632</v>
      </c>
      <c r="O15" s="120">
        <f t="shared" si="6"/>
        <v>0.28685306365258767</v>
      </c>
      <c r="P15" s="119" t="s">
        <v>229</v>
      </c>
      <c r="Q15" s="120" t="str">
        <f t="shared" si="2"/>
        <v>-</v>
      </c>
    </row>
    <row r="16" spans="1:18" x14ac:dyDescent="0.25">
      <c r="A16" s="1" t="s">
        <v>86</v>
      </c>
      <c r="B16" s="118" t="s">
        <v>87</v>
      </c>
      <c r="C16" s="119">
        <v>14321</v>
      </c>
      <c r="D16" s="119">
        <v>13793</v>
      </c>
      <c r="E16" s="120">
        <f t="shared" si="0"/>
        <v>-3.6868933733677833E-2</v>
      </c>
      <c r="F16" s="119">
        <v>6776</v>
      </c>
      <c r="G16" s="120">
        <f t="shared" si="3"/>
        <v>-0.50873631552236642</v>
      </c>
      <c r="H16" s="119">
        <v>13925</v>
      </c>
      <c r="I16" s="120">
        <f t="shared" si="4"/>
        <v>1.0550472255017711</v>
      </c>
      <c r="J16" s="119">
        <v>15520</v>
      </c>
      <c r="K16" s="120">
        <f t="shared" si="5"/>
        <v>0.1145421903052064</v>
      </c>
      <c r="L16" s="119">
        <v>14993</v>
      </c>
      <c r="M16" s="120">
        <f t="shared" si="1"/>
        <v>-3.39561855670103E-2</v>
      </c>
      <c r="N16" s="119">
        <v>15201</v>
      </c>
      <c r="O16" s="120">
        <f t="shared" si="6"/>
        <v>1.3873140799039563E-2</v>
      </c>
      <c r="P16" s="119" t="s">
        <v>229</v>
      </c>
      <c r="Q16" s="120" t="str">
        <f t="shared" si="2"/>
        <v>-</v>
      </c>
    </row>
    <row r="17" spans="1:17" x14ac:dyDescent="0.25">
      <c r="A17" s="1" t="s">
        <v>88</v>
      </c>
      <c r="B17" s="118" t="s">
        <v>89</v>
      </c>
      <c r="C17" s="119">
        <v>15635</v>
      </c>
      <c r="D17" s="119">
        <v>15992</v>
      </c>
      <c r="E17" s="120">
        <f t="shared" si="0"/>
        <v>2.2833386632555186E-2</v>
      </c>
      <c r="F17" s="119">
        <v>7423</v>
      </c>
      <c r="G17" s="120">
        <f t="shared" si="3"/>
        <v>-0.53583041520760388</v>
      </c>
      <c r="H17" s="119">
        <v>16473</v>
      </c>
      <c r="I17" s="120">
        <f t="shared" si="4"/>
        <v>1.2191836184830929</v>
      </c>
      <c r="J17" s="119">
        <v>19959</v>
      </c>
      <c r="K17" s="120">
        <f t="shared" si="5"/>
        <v>0.21161901293024954</v>
      </c>
      <c r="L17" s="119">
        <v>15933</v>
      </c>
      <c r="M17" s="120">
        <f t="shared" si="1"/>
        <v>-0.2017135127010371</v>
      </c>
      <c r="N17" s="119">
        <v>19577</v>
      </c>
      <c r="O17" s="120">
        <f t="shared" si="6"/>
        <v>0.22870771355049269</v>
      </c>
      <c r="P17" s="119" t="s">
        <v>229</v>
      </c>
      <c r="Q17" s="120" t="str">
        <f t="shared" si="2"/>
        <v>-</v>
      </c>
    </row>
    <row r="18" spans="1:17" x14ac:dyDescent="0.25">
      <c r="A18" s="1" t="s">
        <v>90</v>
      </c>
      <c r="B18" s="118" t="s">
        <v>91</v>
      </c>
      <c r="C18" s="119">
        <v>20046</v>
      </c>
      <c r="D18" s="119">
        <v>18677</v>
      </c>
      <c r="E18" s="120">
        <f t="shared" si="0"/>
        <v>-6.8292926269579945E-2</v>
      </c>
      <c r="F18" s="119">
        <v>9298</v>
      </c>
      <c r="G18" s="120">
        <f t="shared" si="3"/>
        <v>-0.50216844246934733</v>
      </c>
      <c r="H18" s="119">
        <v>19721</v>
      </c>
      <c r="I18" s="120">
        <f t="shared" si="4"/>
        <v>1.1209937620993764</v>
      </c>
      <c r="J18" s="119">
        <v>21932</v>
      </c>
      <c r="K18" s="120">
        <f t="shared" si="5"/>
        <v>0.11211399016277057</v>
      </c>
      <c r="L18" s="119">
        <v>20553</v>
      </c>
      <c r="M18" s="120">
        <f t="shared" si="1"/>
        <v>-6.2876162684661674E-2</v>
      </c>
      <c r="N18" s="119">
        <v>19337</v>
      </c>
      <c r="O18" s="120">
        <f t="shared" si="6"/>
        <v>-5.9164112295042037E-2</v>
      </c>
      <c r="P18" s="119" t="s">
        <v>229</v>
      </c>
      <c r="Q18" s="120" t="str">
        <f t="shared" si="2"/>
        <v>-</v>
      </c>
    </row>
    <row r="19" spans="1:17" x14ac:dyDescent="0.25">
      <c r="A19" s="1" t="s">
        <v>92</v>
      </c>
      <c r="B19" s="118" t="s">
        <v>93</v>
      </c>
      <c r="C19" s="119">
        <v>22032</v>
      </c>
      <c r="D19" s="119">
        <v>21685</v>
      </c>
      <c r="E19" s="120">
        <f t="shared" si="0"/>
        <v>-1.5749818445896846E-2</v>
      </c>
      <c r="F19" s="119">
        <v>8104</v>
      </c>
      <c r="G19" s="120">
        <f t="shared" si="3"/>
        <v>-0.62628545077242337</v>
      </c>
      <c r="H19" s="119">
        <v>22740</v>
      </c>
      <c r="I19" s="120">
        <f t="shared" si="4"/>
        <v>1.8060217176702862</v>
      </c>
      <c r="J19" s="119">
        <v>25251</v>
      </c>
      <c r="K19" s="120">
        <f t="shared" si="5"/>
        <v>0.11042216358839041</v>
      </c>
      <c r="L19" s="119">
        <v>23667</v>
      </c>
      <c r="M19" s="120">
        <f t="shared" si="1"/>
        <v>-6.2730188903409756E-2</v>
      </c>
      <c r="N19" s="119">
        <v>25085</v>
      </c>
      <c r="O19" s="120">
        <f t="shared" si="6"/>
        <v>5.9914649089449545E-2</v>
      </c>
      <c r="P19" s="119" t="s">
        <v>229</v>
      </c>
      <c r="Q19" s="120" t="str">
        <f t="shared" si="2"/>
        <v>-</v>
      </c>
    </row>
    <row r="20" spans="1:17" x14ac:dyDescent="0.25">
      <c r="A20" s="1" t="s">
        <v>94</v>
      </c>
      <c r="B20" s="118" t="s">
        <v>95</v>
      </c>
      <c r="C20" s="119">
        <v>20407</v>
      </c>
      <c r="D20" s="119">
        <v>20923</v>
      </c>
      <c r="E20" s="120">
        <f t="shared" si="0"/>
        <v>2.528544127015242E-2</v>
      </c>
      <c r="F20" s="119">
        <v>6962</v>
      </c>
      <c r="G20" s="120">
        <f t="shared" si="3"/>
        <v>-0.66725612961812364</v>
      </c>
      <c r="H20" s="119">
        <v>18198</v>
      </c>
      <c r="I20" s="120">
        <f t="shared" si="4"/>
        <v>1.6139040505601838</v>
      </c>
      <c r="J20" s="119">
        <v>23965</v>
      </c>
      <c r="K20" s="120">
        <f t="shared" si="5"/>
        <v>0.3169029563688317</v>
      </c>
      <c r="L20" s="119">
        <v>20577</v>
      </c>
      <c r="M20" s="120">
        <f t="shared" si="1"/>
        <v>-0.14137283538493639</v>
      </c>
      <c r="N20" s="119">
        <v>24629</v>
      </c>
      <c r="O20" s="120">
        <f t="shared" si="6"/>
        <v>0.19691889002284113</v>
      </c>
      <c r="P20" s="119" t="s">
        <v>229</v>
      </c>
      <c r="Q20" s="120" t="str">
        <f t="shared" si="2"/>
        <v>-</v>
      </c>
    </row>
    <row r="21" spans="1:17" ht="15.75" x14ac:dyDescent="0.25">
      <c r="A21" s="1" t="s">
        <v>0</v>
      </c>
      <c r="B21" s="121" t="s">
        <v>32</v>
      </c>
      <c r="C21" s="122">
        <v>232309</v>
      </c>
      <c r="D21" s="122">
        <v>220415</v>
      </c>
      <c r="E21" s="123">
        <f t="shared" si="0"/>
        <v>-5.1199049541774122E-2</v>
      </c>
      <c r="F21" s="122">
        <v>103516</v>
      </c>
      <c r="G21" s="123">
        <f>F21/D21-1</f>
        <v>-0.53035864165324509</v>
      </c>
      <c r="H21" s="122">
        <v>164258</v>
      </c>
      <c r="I21" s="123">
        <f t="shared" si="4"/>
        <v>0.58678851578499946</v>
      </c>
      <c r="J21" s="122">
        <v>229131</v>
      </c>
      <c r="K21" s="123">
        <f t="shared" si="5"/>
        <v>0.39494575606667559</v>
      </c>
      <c r="L21" s="122">
        <v>239109</v>
      </c>
      <c r="M21" s="123">
        <f t="shared" si="1"/>
        <v>4.3547141155059865E-2</v>
      </c>
      <c r="N21" s="122">
        <v>250871</v>
      </c>
      <c r="O21" s="123">
        <f t="shared" si="6"/>
        <v>4.9190954752853289E-2</v>
      </c>
      <c r="P21" s="122">
        <v>140761</v>
      </c>
      <c r="Q21" s="123">
        <v>0.12240650665816122</v>
      </c>
    </row>
    <row r="22" spans="1:17" ht="6" customHeight="1" x14ac:dyDescent="0.25"/>
    <row r="23" spans="1:17" x14ac:dyDescent="0.25">
      <c r="B23" s="107" t="s">
        <v>57</v>
      </c>
      <c r="C23" s="107"/>
      <c r="D23" s="107"/>
      <c r="E23" s="107"/>
      <c r="F23" s="107"/>
      <c r="G23" s="107"/>
      <c r="H23" s="107"/>
      <c r="I23" s="107"/>
      <c r="J23" s="107"/>
      <c r="K23" s="107"/>
      <c r="L23" s="107"/>
      <c r="M23" s="107"/>
      <c r="N23" s="107"/>
      <c r="O23" s="107"/>
      <c r="P23" s="119"/>
      <c r="Q23" s="107"/>
    </row>
  </sheetData>
  <mergeCells count="9">
    <mergeCell ref="B4:Q4"/>
    <mergeCell ref="C6:Q6"/>
    <mergeCell ref="D7:E7"/>
    <mergeCell ref="F7:G7"/>
    <mergeCell ref="H7:I7"/>
    <mergeCell ref="J7:K7"/>
    <mergeCell ref="L7:M7"/>
    <mergeCell ref="N7:O7"/>
    <mergeCell ref="P7:Q7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b82f571-e864-4b98-84bd-930f661ed42a">
      <Terms xmlns="http://schemas.microsoft.com/office/infopath/2007/PartnerControls"/>
    </lcf76f155ced4ddcb4097134ff3c332f>
    <TaxCatchAll xmlns="8c9163ab-4d1c-46a7-8d61-b5cee27b7450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9" ma:contentTypeDescription="Crear nuevo documento." ma:contentTypeScope="" ma:versionID="090c0b7294b84836526f6f7c1d9c854f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c85de1f908bc78fd08d97c8a0418e28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f3325280-2aef-4f39-8940-b77a215173c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3db4f369-2d72-4174-95fe-41f9ef52a544}" ma:internalName="TaxCatchAll" ma:showField="CatchAllData" ma:web="8c9163ab-4d1c-46a7-8d61-b5cee27b745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8D8C221-E7D1-4B89-909F-48949ABAA87F}">
  <ds:schemaRefs>
    <ds:schemaRef ds:uri="http://schemas.microsoft.com/office/2006/metadata/properties"/>
    <ds:schemaRef ds:uri="http://schemas.microsoft.com/office/infopath/2007/PartnerControls"/>
    <ds:schemaRef ds:uri="9b82f571-e864-4b98-84bd-930f661ed42a"/>
    <ds:schemaRef ds:uri="8c9163ab-4d1c-46a7-8d61-b5cee27b7450"/>
  </ds:schemaRefs>
</ds:datastoreItem>
</file>

<file path=customXml/itemProps2.xml><?xml version="1.0" encoding="utf-8"?>
<ds:datastoreItem xmlns:ds="http://schemas.openxmlformats.org/officeDocument/2006/customXml" ds:itemID="{8D0625A7-04F5-44AC-87B8-643C4675BB7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6C13B77-7162-4891-9273-49C8A169D8BF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48</vt:i4>
      </vt:variant>
      <vt:variant>
        <vt:lpstr>Rangos con nombre</vt:lpstr>
      </vt:variant>
      <vt:variant>
        <vt:i4>17</vt:i4>
      </vt:variant>
    </vt:vector>
  </HeadingPairs>
  <TitlesOfParts>
    <vt:vector size="65" baseType="lpstr">
      <vt:lpstr>Menú principal</vt:lpstr>
      <vt:lpstr>Resumen indicadores (aloj)</vt:lpstr>
      <vt:lpstr>Resumen indicadores municipios </vt:lpstr>
      <vt:lpstr>Oferta alojativa</vt:lpstr>
      <vt:lpstr>Plazas aloj islas cat y tipolog</vt:lpstr>
      <vt:lpstr>Establecim aloj islas cat y tip</vt:lpstr>
      <vt:lpstr>viajeros entrados</vt:lpstr>
      <vt:lpstr>Viajeros entr evol mensu TF</vt:lpstr>
      <vt:lpstr>Viajeros entr evol mensu TF15-2</vt:lpstr>
      <vt:lpstr>Viajeros entr evol mensu TF cat</vt:lpstr>
      <vt:lpstr>Viajeros entr evol anual TF cat</vt:lpstr>
      <vt:lpstr>Viajeros entr ti-cat ultimo mes</vt:lpstr>
      <vt:lpstr>viaj entrados lugar resid años </vt:lpstr>
      <vt:lpstr>viaj entrados lugar residencia</vt:lpstr>
      <vt:lpstr>viaj entrados lugar residen acu</vt:lpstr>
      <vt:lpstr>viaj entrados lugar residen hot</vt:lpstr>
      <vt:lpstr>viaj entrados lugar residen apt</vt:lpstr>
      <vt:lpstr>viaj entrados lugar residen cat</vt:lpstr>
      <vt:lpstr>viaj entr lugar res año categor</vt:lpstr>
      <vt:lpstr>viajeros alojados</vt:lpstr>
      <vt:lpstr>viaj aloj lugar residen mes</vt:lpstr>
      <vt:lpstr>viaj alojados lugar residen acu</vt:lpstr>
      <vt:lpstr>Pernoctaciones</vt:lpstr>
      <vt:lpstr>Pernoctaciones evol mensu TF</vt:lpstr>
      <vt:lpstr>Pernocta evol mensu TF cat</vt:lpstr>
      <vt:lpstr>Pernoctaciones lugar reside</vt:lpstr>
      <vt:lpstr>Pernoctaciones lugar residen ac</vt:lpstr>
      <vt:lpstr>Pernoctaciones lugar reside año</vt:lpstr>
      <vt:lpstr>Estancia media</vt:lpstr>
      <vt:lpstr>EM evol menusual lugar resd</vt:lpstr>
      <vt:lpstr>EM evol mensu TF cat </vt:lpstr>
      <vt:lpstr>Tasa de ocupación</vt:lpstr>
      <vt:lpstr>tasa de ocupación evol mens</vt:lpstr>
      <vt:lpstr>indicadores rentabilidad</vt:lpstr>
      <vt:lpstr>ADR RevPAR ingresos totales ult</vt:lpstr>
      <vt:lpstr>ADR municipios</vt:lpstr>
      <vt:lpstr>RevPAR  municipios</vt:lpstr>
      <vt:lpstr>viajeros españoles</vt:lpstr>
      <vt:lpstr>distribución españoles x Resid</vt:lpstr>
      <vt:lpstr>distribución españoles x cate</vt:lpstr>
      <vt:lpstr>distribución peninsulare x cate</vt:lpstr>
      <vt:lpstr>distribución canarios x cate</vt:lpstr>
      <vt:lpstr>distribución españoles x mun al</vt:lpstr>
      <vt:lpstr>distribución peninsula x munici</vt:lpstr>
      <vt:lpstr>distribución canarias x munici</vt:lpstr>
      <vt:lpstr>evolución anual viaj ent españo</vt:lpstr>
      <vt:lpstr>evolución anual viaj ent penins</vt:lpstr>
      <vt:lpstr>evolución anual viaj ent canari</vt:lpstr>
      <vt:lpstr>'distribución canarias x munici'!Área_de_impresión</vt:lpstr>
      <vt:lpstr>'distribución canarios x cate'!Área_de_impresión</vt:lpstr>
      <vt:lpstr>'distribución españoles x cate'!Área_de_impresión</vt:lpstr>
      <vt:lpstr>'distribución españoles x mun al'!Área_de_impresión</vt:lpstr>
      <vt:lpstr>'distribución españoles x Resid'!Área_de_impresión</vt:lpstr>
      <vt:lpstr>'distribución peninsula x munici'!Área_de_impresión</vt:lpstr>
      <vt:lpstr>'distribución peninsulare x cate'!Área_de_impresión</vt:lpstr>
      <vt:lpstr>'Pernoctaciones lugar reside'!Área_de_impresión</vt:lpstr>
      <vt:lpstr>'Pernoctaciones lugar reside año'!Área_de_impresión</vt:lpstr>
      <vt:lpstr>'Pernoctaciones lugar residen ac'!Área_de_impresión</vt:lpstr>
      <vt:lpstr>'viaj alojados lugar residen acu'!Área_de_impresión</vt:lpstr>
      <vt:lpstr>'viaj entr lugar res año categor'!Área_de_impresión</vt:lpstr>
      <vt:lpstr>'viaj entrados lugar resid años '!Área_de_impresión</vt:lpstr>
      <vt:lpstr>'viaj entrados lugar residen acu'!Área_de_impresión</vt:lpstr>
      <vt:lpstr>'viaj entrados lugar residen apt'!Área_de_impresión</vt:lpstr>
      <vt:lpstr>'viaj entrados lugar residen cat'!Área_de_impresión</vt:lpstr>
      <vt:lpstr>'viaj entrados lugar residen hot'!Área_de_impresión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Pérez García</dc:creator>
  <cp:lastModifiedBy>Marjorie Pérez García</cp:lastModifiedBy>
  <dcterms:created xsi:type="dcterms:W3CDTF">2025-07-29T13:22:21Z</dcterms:created>
  <dcterms:modified xsi:type="dcterms:W3CDTF">2025-07-29T13:53:16Z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  <property fmtid="{D5CDD505-2E9C-101B-9397-08002B2CF9AE}" pid="3" name="MediaServiceImageTags">
    <vt:lpwstr/>
  </property>
</Properties>
</file>